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imspec" sheetId="1" r:id="rId1"/>
    <sheet name="Data Tables" sheetId="2" r:id="rId2"/>
    <sheet name="Bowen Mag " sheetId="3" r:id="rId3"/>
  </sheets>
  <definedNames>
    <definedName name="camera">'Data Tables'!$N$4:$N$35</definedName>
    <definedName name="CameraList">'Data Tables'!$N$4:$N$24</definedName>
    <definedName name="CameraList1">'Data Tables'!$N$4:$N$35</definedName>
    <definedName name="Excel_BuiltIn__FilterDatabase" localSheetId="0">'simspec'!$U$6:$U$27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f Ratio &gt;7 recommended for the Spectra-L200</t>
        </r>
      </text>
    </comment>
    <comment ref="C11" authorId="0">
      <text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 xml:space="preserve">%age of aperture diameter, expressed as decimal ie 0.3
</t>
        </r>
      </text>
    </comment>
    <comment ref="C16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Based on Altitude of target star.
(See Data Table)
</t>
        </r>
      </text>
    </comment>
    <comment ref="C17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See Data Table</t>
        </r>
      </text>
    </comment>
    <comment ref="C1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Based on Seeing image size</t>
        </r>
      </text>
    </comment>
    <comment ref="G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Taken from telescope-F#
</t>
        </r>
      </text>
    </comment>
    <comment ref="G1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0 degree for Littrow</t>
        </r>
      </text>
    </comment>
    <comment ref="G19" authorId="0">
      <text>
        <r>
          <rPr>
            <sz val="10"/>
            <color indexed="8"/>
            <rFont val="Tahoma"/>
            <family val="2"/>
          </rPr>
          <t xml:space="preserve"> If slit width is &lt; star image size, then slit width used for calculations.
</t>
        </r>
      </text>
    </comment>
    <comment ref="G21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Standard gratings:
150 l/mm
300 l/mm
600 l/mm
1200 l/mm
1800 l/mm
2400 l/mm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Standard gratings:
12.5 x 12.5mm
25 x 25mm
25 x 50mm
30 x 30mm
50 x 50mm
</t>
        </r>
      </text>
    </comment>
    <comment ref="G24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Standard gratings:
12.5 x 12.5mm
25 x 25mm
25 x 50mm
30 x 30mm
50 x 50mm
</t>
        </r>
      </text>
    </comment>
    <comment ref="G37" authorId="0">
      <text>
        <r>
          <rPr>
            <sz val="10"/>
            <color indexed="8"/>
            <rFont val="Tahoma"/>
            <family val="2"/>
          </rPr>
          <t>Reflective slit =1
Beamsplitter 0.9 or less</t>
        </r>
      </text>
    </comment>
    <comment ref="G3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approx.0.98 for the enhanced mirrors</t>
        </r>
      </text>
    </comment>
    <comment ref="G4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 xml:space="preserve">Based on Optometrics grating curves
See Data Tables
</t>
        </r>
      </text>
    </comment>
    <comment ref="G42" authorId="0">
      <text>
        <r>
          <rPr>
            <sz val="10"/>
            <color indexed="8"/>
            <rFont val="Tahoma"/>
            <family val="2"/>
          </rPr>
          <t xml:space="preserve"> If slit is smaller than star image then &lt;1
CAOS calculations and lookup table used.</t>
        </r>
      </text>
    </comment>
    <comment ref="G43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Approx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>% of incoming light after losses due to grating width size</t>
        </r>
      </text>
    </comment>
    <comment ref="G44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Approx. % of incoming light after losses due to grating height size</t>
        </r>
      </text>
    </comment>
    <comment ref="G45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% of incoming light reaching the CCD</t>
        </r>
      </text>
    </comment>
    <comment ref="K7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See Data Tables for camera Info</t>
        </r>
      </text>
    </comment>
    <comment ref="K8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Number of pixels in horizontal axis.
See Data Tables for camera Info</t>
        </r>
      </text>
    </comment>
    <comment ref="K9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See Data Tables for camera Info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See Data Tables for camera Info</t>
        </r>
      </text>
    </comment>
    <comment ref="K11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See Data Tables for camera Info</t>
        </r>
      </text>
    </comment>
    <comment ref="K12" authorId="0">
      <text>
        <r>
          <rPr>
            <sz val="10"/>
            <color indexed="8"/>
            <rFont val="Tahoma"/>
            <family val="2"/>
          </rPr>
          <t xml:space="preserve">Binning in dispersion axis- use 1 for maximum resolution
</t>
        </r>
      </text>
    </comment>
    <comment ref="K13" authorId="0">
      <text>
        <r>
          <rPr>
            <sz val="10"/>
            <color indexed="8"/>
            <rFont val="Tahoma"/>
            <family val="2"/>
          </rPr>
          <t xml:space="preserve">Binning in height direction of spectrum
</t>
        </r>
      </text>
    </comment>
    <comment ref="K14" authorId="0">
      <text>
        <r>
          <rPr>
            <sz val="10"/>
            <color indexed="8"/>
            <rFont val="Tahoma"/>
            <family val="2"/>
          </rPr>
          <t xml:space="preserve">Actual sampling value. &gt;2 meets the Nyquist criteria. 
</t>
        </r>
      </text>
    </comment>
    <comment ref="K20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Determine from measurement of spectral image.
Approx: 2-3 x star FWHM pixel size.
</t>
        </r>
      </text>
    </comment>
    <comment ref="K24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See Data Table</t>
        </r>
      </text>
    </comment>
    <comment ref="K25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 xml:space="preserve">See Data Table
</t>
        </r>
      </text>
    </comment>
    <comment ref="K27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&gt;10 is usable
&gt;50 is acceptable
&gt;200 is ProAm standard</t>
        </r>
      </text>
    </comment>
    <comment ref="K30" authorId="0">
      <text>
        <r>
          <rPr>
            <b/>
            <sz val="9"/>
            <color indexed="8"/>
            <rFont val="Tahoma"/>
            <family val="2"/>
          </rPr>
          <t xml:space="preserve">Ken:
</t>
        </r>
        <r>
          <rPr>
            <sz val="9"/>
            <color indexed="8"/>
            <rFont val="Tahoma"/>
            <family val="2"/>
          </rPr>
          <t>Estimate of Limiting Mag, based on SNR&gt;10</t>
        </r>
      </text>
    </comment>
  </commentList>
</comments>
</file>

<file path=xl/sharedStrings.xml><?xml version="1.0" encoding="utf-8"?>
<sst xmlns="http://schemas.openxmlformats.org/spreadsheetml/2006/main" count="388" uniqueCount="323">
  <si>
    <r>
      <rPr>
        <b/>
        <sz val="12"/>
        <color indexed="10"/>
        <rFont val="Arial"/>
        <family val="2"/>
      </rPr>
      <t xml:space="preserve">SIMSPEC V4.3 english version, by Ken Harrison , </t>
    </r>
    <r>
      <rPr>
        <b/>
        <sz val="10"/>
        <color indexed="10"/>
        <rFont val="Arial"/>
        <family val="2"/>
      </rPr>
      <t>original version by  Christian Buil</t>
    </r>
  </si>
  <si>
    <t>Latest Revision:</t>
  </si>
  <si>
    <t>Enter data in highlighted cells</t>
  </si>
  <si>
    <t xml:space="preserve">Telescope </t>
  </si>
  <si>
    <t>Spectrograph</t>
  </si>
  <si>
    <t xml:space="preserve">Camera </t>
  </si>
  <si>
    <t xml:space="preserve">Slit Transmission </t>
  </si>
  <si>
    <t>Wavelength</t>
  </si>
  <si>
    <t>Collimator</t>
  </si>
  <si>
    <t>Camera (Select from list)</t>
  </si>
  <si>
    <t>ATiK314L</t>
  </si>
  <si>
    <t>Diameter (D) :</t>
  </si>
  <si>
    <t>mm</t>
  </si>
  <si>
    <t>Collimator-Focal length (f1) :</t>
  </si>
  <si>
    <t>pixel sizel (p) :</t>
  </si>
  <si>
    <t>microns</t>
  </si>
  <si>
    <t>Focal Ratio, F/D (F#) :</t>
  </si>
  <si>
    <t>Collimator-Required Focal ratio (Fc):</t>
  </si>
  <si>
    <t>number of X pixels(Nx) :</t>
  </si>
  <si>
    <t>Focal length (f) :</t>
  </si>
  <si>
    <t>Collimator-Minimum diameter (d1) :</t>
  </si>
  <si>
    <r>
      <rPr>
        <sz val="10"/>
        <rFont val="Arial"/>
        <family val="2"/>
      </rPr>
      <t>quantum efficiency (</t>
    </r>
    <r>
      <rPr>
        <sz val="10"/>
        <rFont val="Symbol"/>
        <family val="1"/>
      </rPr>
      <t>h</t>
    </r>
    <r>
      <rPr>
        <sz val="10"/>
        <rFont val="Arial"/>
        <family val="2"/>
      </rPr>
      <t>) :</t>
    </r>
  </si>
  <si>
    <t>%</t>
  </si>
  <si>
    <t>Secondary Diameter</t>
  </si>
  <si>
    <t>Resolution of Collimation lens-FWHMo :</t>
  </si>
  <si>
    <t>Read noise (RON) :</t>
  </si>
  <si>
    <t>e-/pixel</t>
  </si>
  <si>
    <r>
      <rPr>
        <sz val="10"/>
        <rFont val="Arial"/>
        <family val="2"/>
      </rPr>
      <t>Central obstruction (</t>
    </r>
    <r>
      <rPr>
        <sz val="10"/>
        <rFont val="Symbol"/>
        <family val="1"/>
      </rPr>
      <t>e</t>
    </r>
    <r>
      <rPr>
        <sz val="10"/>
        <rFont val="Arial"/>
        <family val="2"/>
      </rPr>
      <t>) :</t>
    </r>
  </si>
  <si>
    <t>Camera</t>
  </si>
  <si>
    <t>Dark noise (Nd) :</t>
  </si>
  <si>
    <t>e-/s/pixel</t>
  </si>
  <si>
    <t>Telescope throughput (To) :</t>
  </si>
  <si>
    <t>Camera-Focal length (f2) :</t>
  </si>
  <si>
    <r>
      <rPr>
        <b/>
        <sz val="10"/>
        <rFont val="Arial"/>
        <family val="2"/>
      </rPr>
      <t>Binning, X axis (f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) :</t>
    </r>
  </si>
  <si>
    <t>Camera-Distance to grating (T) :</t>
  </si>
  <si>
    <t>Binning, Y axis (fy) :</t>
  </si>
  <si>
    <t>Seeing/ Atmosphere</t>
  </si>
  <si>
    <t>Camera-Minimum lens diameter (d'2) :</t>
  </si>
  <si>
    <t>Sampling Factor :</t>
  </si>
  <si>
    <r>
      <rPr>
        <b/>
        <sz val="10"/>
        <rFont val="Arial"/>
        <family val="2"/>
      </rPr>
      <t>Seeing (</t>
    </r>
    <r>
      <rPr>
        <b/>
        <sz val="10"/>
        <rFont val="Symbol"/>
        <family val="1"/>
      </rPr>
      <t>f</t>
    </r>
    <r>
      <rPr>
        <b/>
        <sz val="10"/>
        <rFont val="Arial"/>
        <family val="2"/>
      </rPr>
      <t>) :</t>
    </r>
  </si>
  <si>
    <t>"</t>
  </si>
  <si>
    <t>Camera-Maximum focal ratio (Fo) :</t>
  </si>
  <si>
    <t>Exposure</t>
  </si>
  <si>
    <t>Atmospheric transmission (Ta) :</t>
  </si>
  <si>
    <t>Resolution of Camera lens-FWHMc :</t>
  </si>
  <si>
    <t>Subs, exposure time (ts) :</t>
  </si>
  <si>
    <t>secs</t>
  </si>
  <si>
    <t>Sky magnitude (mag/arc sec^2) :</t>
  </si>
  <si>
    <t>number of subframes (n) :</t>
  </si>
  <si>
    <t>Star size at focus (FWHM):</t>
  </si>
  <si>
    <r>
      <rPr>
        <sz val="10"/>
        <rFont val="Arial"/>
        <family val="2"/>
      </rPr>
      <t>Collimator/Camera -Total angle  (</t>
    </r>
    <r>
      <rPr>
        <sz val="10"/>
        <rFont val="Symbol"/>
        <family val="1"/>
      </rPr>
      <t>g</t>
    </r>
    <r>
      <rPr>
        <sz val="10"/>
        <rFont val="Arial"/>
        <family val="2"/>
      </rPr>
      <t>) :</t>
    </r>
  </si>
  <si>
    <t>°</t>
  </si>
  <si>
    <t>Total exposure time (t):</t>
  </si>
  <si>
    <t>Slit width (w) :</t>
  </si>
  <si>
    <t>Spectrum size/ spread</t>
  </si>
  <si>
    <t>NOTES:</t>
  </si>
  <si>
    <t>Grating</t>
  </si>
  <si>
    <t>Height of Spectrum (n) :</t>
  </si>
  <si>
    <t>pixel</t>
  </si>
  <si>
    <t>See www.astrosurf.org/buil/us/spe2/hresol1.htm</t>
  </si>
  <si>
    <t>Grating-Lines/ mm (n) :</t>
  </si>
  <si>
    <t>www.astrosurf.org/buil/us/stage/calcul/design_us.htm</t>
  </si>
  <si>
    <t>Grating-Diffraction order (k) :</t>
  </si>
  <si>
    <t>Target Star</t>
  </si>
  <si>
    <t>Grating - Actual width</t>
  </si>
  <si>
    <t>Magnitude (m) :</t>
  </si>
  <si>
    <t>Grating - Actual height</t>
  </si>
  <si>
    <t>Effective temperature (Te) :</t>
  </si>
  <si>
    <t>K</t>
  </si>
  <si>
    <t>SUMMARY</t>
  </si>
  <si>
    <t>Grating- Minimum height (H) :</t>
  </si>
  <si>
    <t>Bolometric Correction (BC) :</t>
  </si>
  <si>
    <t>Resolving power R</t>
  </si>
  <si>
    <t>Grating- Minimum width (W) :</t>
  </si>
  <si>
    <t>SNR (Theoretical)</t>
  </si>
  <si>
    <t>Spectral resolution</t>
  </si>
  <si>
    <t>Å</t>
  </si>
  <si>
    <r>
      <rPr>
        <b/>
        <sz val="10"/>
        <color indexed="10"/>
        <rFont val="Arial"/>
        <family val="2"/>
      </rPr>
      <t>Dispersion (</t>
    </r>
    <r>
      <rPr>
        <b/>
        <sz val="10"/>
        <color indexed="10"/>
        <rFont val="Symbol"/>
        <family val="1"/>
      </rPr>
      <t>r</t>
    </r>
    <r>
      <rPr>
        <b/>
        <sz val="10"/>
        <color indexed="10"/>
        <rFont val="Arial"/>
        <family val="2"/>
      </rPr>
      <t>) :</t>
    </r>
  </si>
  <si>
    <t>Å/ pixel</t>
  </si>
  <si>
    <t>Signal/Noise (SNR/pixel) :</t>
  </si>
  <si>
    <t>Wavelength range</t>
  </si>
  <si>
    <t>Resolving power (R) :</t>
  </si>
  <si>
    <r>
      <rPr>
        <b/>
        <sz val="10"/>
        <color indexed="10"/>
        <rFont val="Arial"/>
        <family val="2"/>
      </rPr>
      <t>Signal/Noise (SNR/</t>
    </r>
    <r>
      <rPr>
        <b/>
        <sz val="10"/>
        <color indexed="10"/>
        <rFont val="Symbol"/>
        <family val="1"/>
      </rPr>
      <t>Dl)</t>
    </r>
    <r>
      <rPr>
        <b/>
        <sz val="10"/>
        <color indexed="10"/>
        <rFont val="Arial"/>
        <family val="2"/>
      </rPr>
      <t xml:space="preserve"> :</t>
    </r>
  </si>
  <si>
    <t xml:space="preserve">Grating-Lines/ mm </t>
  </si>
  <si>
    <r>
      <rPr>
        <b/>
        <sz val="10"/>
        <color indexed="10"/>
        <rFont val="Arial"/>
        <family val="2"/>
      </rPr>
      <t>Spectral resolution (</t>
    </r>
    <r>
      <rPr>
        <b/>
        <sz val="10"/>
        <color indexed="10"/>
        <rFont val="Symbol"/>
        <family val="1"/>
      </rPr>
      <t>Dl</t>
    </r>
    <r>
      <rPr>
        <b/>
        <sz val="10"/>
        <color indexed="10"/>
        <rFont val="Arial"/>
        <family val="2"/>
      </rPr>
      <t>) :</t>
    </r>
  </si>
  <si>
    <t>Limiting Mag</t>
  </si>
  <si>
    <t>Grating-Diffraction order</t>
  </si>
  <si>
    <t>Dispersion (r) :</t>
  </si>
  <si>
    <t>Å/ mm</t>
  </si>
  <si>
    <t>Limiting Mag.(Bowen-mod):</t>
  </si>
  <si>
    <t>Slit width</t>
  </si>
  <si>
    <t>Wavelength Range</t>
  </si>
  <si>
    <t>Target Mag.</t>
  </si>
  <si>
    <r>
      <rPr>
        <b/>
        <sz val="10"/>
        <rFont val="Arial"/>
        <family val="2"/>
      </rPr>
      <t>Reference wavelength (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0) :</t>
    </r>
  </si>
  <si>
    <t>Signal/Noise (SNR/pixel)</t>
  </si>
  <si>
    <r>
      <rPr>
        <sz val="10"/>
        <color indexed="10"/>
        <rFont val="Arial"/>
        <family val="2"/>
      </rPr>
      <t>Lambda min. (</t>
    </r>
    <r>
      <rPr>
        <sz val="10"/>
        <color indexed="10"/>
        <rFont val="Symbol"/>
        <family val="1"/>
      </rPr>
      <t>l</t>
    </r>
    <r>
      <rPr>
        <sz val="10"/>
        <color indexed="10"/>
        <rFont val="Arial"/>
        <family val="2"/>
      </rPr>
      <t>1) :</t>
    </r>
  </si>
  <si>
    <t>SNR Calculations</t>
  </si>
  <si>
    <t>Area</t>
  </si>
  <si>
    <r>
      <rPr>
        <b/>
        <sz val="10"/>
        <rFont val="Arial"/>
        <family val="2"/>
      </rPr>
      <t>Signal/Noise (SNR/</t>
    </r>
    <r>
      <rPr>
        <b/>
        <sz val="10"/>
        <rFont val="Symbol"/>
        <family val="1"/>
      </rPr>
      <t>Dl)</t>
    </r>
  </si>
  <si>
    <r>
      <rPr>
        <sz val="10"/>
        <color indexed="10"/>
        <rFont val="Arial"/>
        <family val="2"/>
      </rPr>
      <t>Lambda max. (</t>
    </r>
    <r>
      <rPr>
        <sz val="10"/>
        <color indexed="10"/>
        <rFont val="Symbol"/>
        <family val="1"/>
      </rPr>
      <t>l</t>
    </r>
    <r>
      <rPr>
        <sz val="10"/>
        <color indexed="10"/>
        <rFont val="Arial"/>
        <family val="2"/>
      </rPr>
      <t>2) :</t>
    </r>
  </si>
  <si>
    <t>Number of  photons (E) :</t>
  </si>
  <si>
    <t>photons/cm2/s/Å</t>
  </si>
  <si>
    <t>triangle</t>
  </si>
  <si>
    <t>Wavelength range/ image frame:</t>
  </si>
  <si>
    <t>Sky background(Ed) :</t>
  </si>
  <si>
    <t>photons/cm2/s/Å/ arc sec</t>
  </si>
  <si>
    <t>eff</t>
  </si>
  <si>
    <t>Other Results</t>
  </si>
  <si>
    <t>Throughput efficiency</t>
  </si>
  <si>
    <t>Final Efficiency (R) :</t>
  </si>
  <si>
    <r>
      <rPr>
        <sz val="10"/>
        <color indexed="10"/>
        <rFont val="Arial"/>
        <family val="2"/>
      </rPr>
      <t>Angle of incidence (</t>
    </r>
    <r>
      <rPr>
        <sz val="10"/>
        <color indexed="10"/>
        <rFont val="Symbol"/>
        <family val="1"/>
      </rPr>
      <t>a</t>
    </r>
    <r>
      <rPr>
        <sz val="10"/>
        <color indexed="10"/>
        <rFont val="Arial"/>
        <family val="2"/>
      </rPr>
      <t>) :</t>
    </r>
  </si>
  <si>
    <t>Transmission efficiency- guide system:</t>
  </si>
  <si>
    <t>Useful signal (Nm) :</t>
  </si>
  <si>
    <r>
      <rPr>
        <sz val="10"/>
        <color indexed="10"/>
        <rFont val="Arial"/>
        <family val="2"/>
      </rPr>
      <t>Angle of diffraction (</t>
    </r>
    <r>
      <rPr>
        <sz val="10"/>
        <color indexed="10"/>
        <rFont val="Symbol"/>
        <family val="1"/>
      </rPr>
      <t>b</t>
    </r>
    <r>
      <rPr>
        <sz val="10"/>
        <color indexed="10"/>
        <rFont val="Arial"/>
        <family val="2"/>
      </rPr>
      <t>) :</t>
    </r>
  </si>
  <si>
    <t>Transmission efficiency -transfer mirror:</t>
  </si>
  <si>
    <t>Background noise (Ns) :</t>
  </si>
  <si>
    <t>Anamorphic factor (r) :</t>
  </si>
  <si>
    <t>Transmission efficiency-Collimator lens (To) :</t>
  </si>
  <si>
    <r>
      <rPr>
        <sz val="10"/>
        <rFont val="Arial"/>
        <family val="2"/>
      </rPr>
      <t>Noise(</t>
    </r>
    <r>
      <rPr>
        <sz val="10"/>
        <rFont val="Symbol"/>
        <family val="1"/>
      </rPr>
      <t>s</t>
    </r>
    <r>
      <rPr>
        <sz val="10"/>
        <rFont val="Arial"/>
        <family val="2"/>
      </rPr>
      <t>) :</t>
    </r>
  </si>
  <si>
    <t>diffraction limit grating, FWHMd :</t>
  </si>
  <si>
    <t>Transmission efficiency-Camera lens (Tc) :</t>
  </si>
  <si>
    <r>
      <rPr>
        <sz val="10"/>
        <rFont val="Arial"/>
        <family val="2"/>
      </rPr>
      <t xml:space="preserve">Signal/Noise by interval </t>
    </r>
    <r>
      <rPr>
        <sz val="10"/>
        <rFont val="Symbol"/>
        <family val="1"/>
      </rPr>
      <t>Dl</t>
    </r>
    <r>
      <rPr>
        <sz val="10"/>
        <rFont val="Arial"/>
        <family val="2"/>
      </rPr>
      <t xml:space="preserve"> :</t>
    </r>
  </si>
  <si>
    <t>Slit/ image width on CCD, FWHMt :</t>
  </si>
  <si>
    <t>Transmission efficiency-Grating (Tg) :</t>
  </si>
  <si>
    <t>Noise from Signal :</t>
  </si>
  <si>
    <t>Entrance slit transmission(Tf):</t>
  </si>
  <si>
    <t>Noise from Electronics :</t>
  </si>
  <si>
    <t>% efficiency due to undersized grating -width</t>
  </si>
  <si>
    <t>% efficiency due to undersized grating -height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</si>
  <si>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Actual SNR obtained will be influenced by </t>
    </r>
  </si>
  <si>
    <t>Total Transmission of Spectrograph (Ts) :</t>
  </si>
  <si>
    <t>the guiding (total time the target star is held on the slit gap)</t>
  </si>
  <si>
    <t>A good estimate of actual SNR is 50% - 80% the theoretical.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</si>
  <si>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thoughput does not take into account undersized</t>
    </r>
  </si>
  <si>
    <t>collimator or imaging optics.</t>
  </si>
  <si>
    <t>REVISION:</t>
  </si>
  <si>
    <t>V4.3 - Nov 2016</t>
  </si>
  <si>
    <t>Instrument efficiency updated. Corrections to FWHMt formula</t>
  </si>
  <si>
    <t>V4.2 - March 2016</t>
  </si>
  <si>
    <t>SNR by wavelength interval (resolution) added to summary. Actual grating sizes added.</t>
  </si>
  <si>
    <t>V4.1c - July 2013</t>
  </si>
  <si>
    <t>Look-up table for Optometric grating efficiency. Formula for SNR amended.</t>
  </si>
  <si>
    <t>V4.1 -May 2013</t>
  </si>
  <si>
    <t>Camera selection list added</t>
  </si>
  <si>
    <t>V4.0 - April 2012</t>
  </si>
  <si>
    <t>New layout. Added Data Page. Updated comments</t>
  </si>
  <si>
    <t>V3.3a -Jan 2012</t>
  </si>
  <si>
    <t>Collimator focal ratio set to match telescope. Camera focal ratio no longer an input.</t>
  </si>
  <si>
    <t>V3.3 -May 2011</t>
  </si>
  <si>
    <t>Corrections to the equation for FWHMt ( incorrectly calculated for slit&lt;star)</t>
  </si>
  <si>
    <t>V3.2c-Oct 2010</t>
  </si>
  <si>
    <t>-Slit width now in micron</t>
  </si>
  <si>
    <t>V3.2b -July 2010</t>
  </si>
  <si>
    <t>Transmission efficiencies added for guider and Littrow mirror</t>
  </si>
  <si>
    <t>V3.2a -April 2010</t>
  </si>
  <si>
    <t>- Fixed slit width v's star size for resolution calculation. Based on CAOS data.</t>
  </si>
  <si>
    <t>-SNRcalculations amended to follow CAOS formulae</t>
  </si>
  <si>
    <t>-Bowen magnitude now based on spectrum width and units corrected.</t>
  </si>
  <si>
    <t>Atmospheric Transmission (Ta)</t>
  </si>
  <si>
    <t>Bolometric Corrections (BC)</t>
  </si>
  <si>
    <t>CCD Efficiency Curves (QE)</t>
  </si>
  <si>
    <t>Typical CCD data- (Additional info welcome)</t>
  </si>
  <si>
    <t>Class</t>
  </si>
  <si>
    <t>Main</t>
  </si>
  <si>
    <t>Giants</t>
  </si>
  <si>
    <t>Supergiants</t>
  </si>
  <si>
    <t>Relative</t>
  </si>
  <si>
    <t>Absolute</t>
  </si>
  <si>
    <t>Width</t>
  </si>
  <si>
    <t>Pixel</t>
  </si>
  <si>
    <t xml:space="preserve">RON </t>
  </si>
  <si>
    <t>Dark</t>
  </si>
  <si>
    <t>Zenith Angle</t>
  </si>
  <si>
    <t>Transmission</t>
  </si>
  <si>
    <t>(@5500A)</t>
  </si>
  <si>
    <t>Sequence</t>
  </si>
  <si>
    <t>Wavelength (A)</t>
  </si>
  <si>
    <t>Efficiency</t>
  </si>
  <si>
    <t xml:space="preserve">Name </t>
  </si>
  <si>
    <t>Micron</t>
  </si>
  <si>
    <t>(e/pixel)</t>
  </si>
  <si>
    <t>(e/s/pixel)</t>
  </si>
  <si>
    <t>See:</t>
  </si>
  <si>
    <t>http://www.licha.de/astro_article_ccd_sortable_compare.php</t>
  </si>
  <si>
    <t>O3</t>
  </si>
  <si>
    <t>-</t>
  </si>
  <si>
    <t>MX7c</t>
  </si>
  <si>
    <t>http://www.astrosurf.com/buil/isis/noise/result.htm</t>
  </si>
  <si>
    <t>O5</t>
  </si>
  <si>
    <t>ATik16c</t>
  </si>
  <si>
    <t>est</t>
  </si>
  <si>
    <t>http://www.atik-cameras.com/products</t>
  </si>
  <si>
    <t>O7</t>
  </si>
  <si>
    <t>ATik16ic-S</t>
  </si>
  <si>
    <t>http://www.astronomycameras.com/products/usb/</t>
  </si>
  <si>
    <t>B0</t>
  </si>
  <si>
    <t>DSI II pro</t>
  </si>
  <si>
    <t>http://www.sxccd.com/lodestar-autoguider</t>
  </si>
  <si>
    <t>B1</t>
  </si>
  <si>
    <t>http://www.sbig.com/products/cameras/</t>
  </si>
  <si>
    <t>B2</t>
  </si>
  <si>
    <t>Lodestar</t>
  </si>
  <si>
    <t>B3</t>
  </si>
  <si>
    <t>ST7E</t>
  </si>
  <si>
    <t>B5</t>
  </si>
  <si>
    <t>ST8E</t>
  </si>
  <si>
    <t>B7</t>
  </si>
  <si>
    <t>ST9E</t>
  </si>
  <si>
    <t>A0</t>
  </si>
  <si>
    <t>ST10ME</t>
  </si>
  <si>
    <t>A5</t>
  </si>
  <si>
    <t>SBIG 402ME</t>
  </si>
  <si>
    <t>F0</t>
  </si>
  <si>
    <t>STF 8300</t>
  </si>
  <si>
    <t>Zenith Angle = 90 - Star Altitude</t>
  </si>
  <si>
    <t>F5</t>
  </si>
  <si>
    <t>STXL11002</t>
  </si>
  <si>
    <t>G0</t>
  </si>
  <si>
    <t>Other..</t>
  </si>
  <si>
    <t>Surface Temperature</t>
  </si>
  <si>
    <t>G5</t>
  </si>
  <si>
    <t>Webcam</t>
  </si>
  <si>
    <t>Temp (K)</t>
  </si>
  <si>
    <t>K0</t>
  </si>
  <si>
    <t>DMK41</t>
  </si>
  <si>
    <t>O</t>
  </si>
  <si>
    <t>&gt;45000</t>
  </si>
  <si>
    <t>K5</t>
  </si>
  <si>
    <t>DMK51</t>
  </si>
  <si>
    <t>&gt;40000</t>
  </si>
  <si>
    <t>M0</t>
  </si>
  <si>
    <t>QHY5</t>
  </si>
  <si>
    <t>M2</t>
  </si>
  <si>
    <t>350D</t>
  </si>
  <si>
    <t>M4</t>
  </si>
  <si>
    <t>450D</t>
  </si>
  <si>
    <t>M5</t>
  </si>
  <si>
    <t xml:space="preserve"> (Based on ICX285AL)</t>
  </si>
  <si>
    <t>1000D</t>
  </si>
  <si>
    <t>M8</t>
  </si>
  <si>
    <t xml:space="preserve"> (ATiK314L/DSI III/ SXV-H9)</t>
  </si>
  <si>
    <t>MLx285</t>
  </si>
  <si>
    <t>Max QE approx=</t>
  </si>
  <si>
    <t>ATiK460EX</t>
  </si>
  <si>
    <t>See: "Stars and their Spectra" - Kaler, 2nd Ed. P19</t>
  </si>
  <si>
    <t>also, 1st Ed. P263</t>
  </si>
  <si>
    <t>&lt;3700</t>
  </si>
  <si>
    <t>http://en.wikipedia.org/wiki/Stellar_classification</t>
  </si>
  <si>
    <t>See: "Stars and their Spectra" - Kaler, 1st Ed. p80-81</t>
  </si>
  <si>
    <t>Sky Background Brightness (SBO)</t>
  </si>
  <si>
    <t>(Mag/arc  sec ^2)</t>
  </si>
  <si>
    <t xml:space="preserve">Grating Efficiency Curves </t>
  </si>
  <si>
    <t>Perfect dark sky = 22</t>
  </si>
  <si>
    <t>http://www.nightwise.org/magnitudes.htm</t>
  </si>
  <si>
    <t>Rural conditions = 18</t>
  </si>
  <si>
    <t>http://members.ziggo.nl/jhm.vangastel/Astronomy/visibility/PredictionTool.htm</t>
  </si>
  <si>
    <t>Inner City Conditions = 16</t>
  </si>
  <si>
    <r>
      <rPr>
        <sz val="12"/>
        <rFont val="Times New Roman"/>
        <family val="1"/>
      </rPr>
      <t>SB0 = 22 - 5Log(10</t>
    </r>
    <r>
      <rPr>
        <vertAlign val="superscript"/>
        <sz val="12"/>
        <rFont val="Times New Roman"/>
        <family val="1"/>
      </rPr>
      <t>(1.7-LM/5)</t>
    </r>
    <r>
      <rPr>
        <sz val="12"/>
        <rFont val="Times New Roman"/>
        <family val="1"/>
      </rPr>
      <t xml:space="preserve">-1) as suggested by Jan van Gastel, based on the initial formula by Nils Olof </t>
    </r>
  </si>
  <si>
    <t>Quote:</t>
  </si>
  <si>
    <t>Plotting those formula's against data from Peter van Leuteren,</t>
  </si>
  <si>
    <t xml:space="preserve"> member of the the Dutch Meteor Society [based on over 500 observations], </t>
  </si>
  <si>
    <t xml:space="preserve"> it became apparent that the formula as suggested by Jan van Gastel matched the data best.</t>
  </si>
  <si>
    <t xml:space="preserve"> (Based on Optometrics data)</t>
  </si>
  <si>
    <t xml:space="preserve"> Blazed for 5000A</t>
  </si>
  <si>
    <t>1200 l/mm Littrow</t>
  </si>
  <si>
    <t>http://www.optometrics.com//App_Themes/optometrics/pdfs/gratings/1200g_mm_Ruled_500_nm_Blaze.pdf</t>
  </si>
  <si>
    <t>Limiting magnitude - Spectroscope</t>
  </si>
  <si>
    <t>Bowen's Formula</t>
  </si>
  <si>
    <t>Corrected and revised April 2012</t>
  </si>
  <si>
    <t>Original formula:</t>
  </si>
  <si>
    <t>m=12 + 2.5 log(( W* D1* Td* g* q* t* (dλ/dθ)/(f1* f2* H* α))</t>
  </si>
  <si>
    <t>NB convert units to metres and radians</t>
  </si>
  <si>
    <t>Where m is the limiting B magnitude to give a "usable spectrum"</t>
  </si>
  <si>
    <t>Note: This formula is presented out of historical interest. The calculated magnitudes are only estimates. First promolgated by Bowen in the 1940's</t>
  </si>
  <si>
    <t>Input:</t>
  </si>
  <si>
    <t>Output:</t>
  </si>
  <si>
    <t>W</t>
  </si>
  <si>
    <t>Projected slit width at telescope focus</t>
  </si>
  <si>
    <t>metre</t>
  </si>
  <si>
    <t>mag lim</t>
  </si>
  <si>
    <t>D1</t>
  </si>
  <si>
    <t>Diameter of collimator lens</t>
  </si>
  <si>
    <t>Td</t>
  </si>
  <si>
    <t xml:space="preserve">Clear aperture of telescope </t>
  </si>
  <si>
    <t>g</t>
  </si>
  <si>
    <t>Optical efficiency</t>
  </si>
  <si>
    <t>Usually 0.1 to 0.5</t>
  </si>
  <si>
    <t>q</t>
  </si>
  <si>
    <t>Quantum efficiency of CCD</t>
  </si>
  <si>
    <t>t</t>
  </si>
  <si>
    <t>exposure (secs)</t>
  </si>
  <si>
    <t>sec</t>
  </si>
  <si>
    <t>(dλ/dθ)</t>
  </si>
  <si>
    <t>dispersion of grating</t>
  </si>
  <si>
    <t>m/rad</t>
  </si>
  <si>
    <t>(dλ/dθ), also = d2/R</t>
  </si>
  <si>
    <t>where d2 = exit beam reflected from the grating, R= Theoretical Resolving power</t>
  </si>
  <si>
    <t>f1</t>
  </si>
  <si>
    <t>focal length of collimator</t>
  </si>
  <si>
    <t>f2</t>
  </si>
  <si>
    <t>focal length of camera</t>
  </si>
  <si>
    <t>a</t>
  </si>
  <si>
    <t>star size (Rad)</t>
  </si>
  <si>
    <t>Rad</t>
  </si>
  <si>
    <t>(5 -20uRad = 1-4")</t>
  </si>
  <si>
    <t>H</t>
  </si>
  <si>
    <t>height of spectrum</t>
  </si>
  <si>
    <t>based on height of the spectrum ( height* pixel size)</t>
  </si>
  <si>
    <t>NB When slit is larger than star image, substitute Td= Td*Td,  ie magnitude proportional to Dt*Dt</t>
  </si>
  <si>
    <t>Comment:</t>
  </si>
  <si>
    <t>1. Limiting magnitude should be based on a value close to SNR =10</t>
  </si>
  <si>
    <t>2. The number of subs used for the exposure has an impact on the S/N ratio ie more subs gives lower S/N - this aspect is not included in Bowen's formulae.</t>
  </si>
  <si>
    <t>modified formula used:</t>
  </si>
  <si>
    <t>3. The Bowen formula doesn't handle well the various Bolometric corrections or the changes in stellar temperature.</t>
  </si>
  <si>
    <r>
      <rPr>
        <b/>
        <sz val="10"/>
        <rFont val="Arial"/>
        <family val="2"/>
      </rPr>
      <t>m=</t>
    </r>
    <r>
      <rPr>
        <b/>
        <sz val="10"/>
        <color indexed="10"/>
        <rFont val="Arial"/>
        <family val="2"/>
      </rPr>
      <t>14.1</t>
    </r>
    <r>
      <rPr>
        <b/>
        <sz val="10"/>
        <rFont val="Arial"/>
        <family val="2"/>
      </rPr>
      <t xml:space="preserve"> + </t>
    </r>
    <r>
      <rPr>
        <b/>
        <sz val="10"/>
        <color indexed="10"/>
        <rFont val="Arial"/>
        <family val="2"/>
      </rPr>
      <t>1.2</t>
    </r>
    <r>
      <rPr>
        <b/>
        <sz val="10"/>
        <rFont val="Arial"/>
        <family val="2"/>
      </rPr>
      <t xml:space="preserve"> log(( W* D1* Td* g* q*</t>
    </r>
    <r>
      <rPr>
        <b/>
        <sz val="10"/>
        <color indexed="10"/>
        <rFont val="Arial"/>
        <family val="2"/>
      </rPr>
      <t>0.8</t>
    </r>
    <r>
      <rPr>
        <b/>
        <sz val="10"/>
        <rFont val="Arial"/>
        <family val="2"/>
      </rPr>
      <t>*t* (dλ/dθ)/(f1* f2* H* α))</t>
    </r>
  </si>
  <si>
    <t>Example:</t>
  </si>
  <si>
    <t>1200 l/mm grating</t>
  </si>
  <si>
    <t>2" Seeing</t>
  </si>
  <si>
    <t>SNR=10</t>
  </si>
  <si>
    <t>Buil</t>
  </si>
  <si>
    <t xml:space="preserve">Modified </t>
  </si>
  <si>
    <t>Total Exposure (secs)</t>
  </si>
  <si>
    <t>Bowen Limiting mag.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</si>
</sst>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/yy"/>
    <numFmt numFmtId="165" formatCode="0.0"/>
    <numFmt numFmtId="166" formatCode="0.000000"/>
    <numFmt numFmtId="167" formatCode="0.000"/>
    <numFmt numFmtId="168" formatCode="0.0000"/>
    <numFmt numFmtId="169" formatCode="0.00000000"/>
    <numFmt numFmtId="170" formatCode="0.0000000"/>
  </numFmts>
  <fonts count="8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28"/>
      <name val="Calibri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8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sz val="18"/>
      <color indexed="8"/>
      <name val="Arial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56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sz val="12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u val="single"/>
      <sz val="10"/>
      <color indexed="39"/>
      <name val="Arial"/>
      <family val="2"/>
    </font>
    <font>
      <b/>
      <sz val="10"/>
      <color indexed="10"/>
      <name val="Symbol"/>
      <family val="1"/>
    </font>
    <font>
      <sz val="10"/>
      <color indexed="10"/>
      <name val="Symbol"/>
      <family val="1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5" fillId="31" borderId="1" applyNumberFormat="0" applyAlignment="0" applyProtection="0"/>
    <xf numFmtId="0" fontId="5" fillId="32" borderId="2" applyNumberFormat="0" applyAlignment="0" applyProtection="0"/>
    <xf numFmtId="0" fontId="6" fillId="33" borderId="3" applyNumberFormat="0" applyAlignment="0" applyProtection="0"/>
    <xf numFmtId="0" fontId="66" fillId="34" borderId="4" applyNumberFormat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8" borderId="2" applyNumberFormat="0" applyAlignment="0" applyProtection="0"/>
    <xf numFmtId="0" fontId="69" fillId="3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3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0" fillId="42" borderId="13" applyNumberFormat="0" applyAlignment="0" applyProtection="0"/>
    <xf numFmtId="0" fontId="23" fillId="42" borderId="2" applyNumberFormat="0" applyAlignment="0" applyProtection="0"/>
    <xf numFmtId="0" fontId="23" fillId="42" borderId="2" applyNumberFormat="0" applyAlignment="0" applyProtection="0"/>
    <xf numFmtId="0" fontId="0" fillId="43" borderId="14" applyNumberFormat="0" applyFont="0" applyAlignment="0" applyProtection="0"/>
    <xf numFmtId="0" fontId="74" fillId="44" borderId="0" applyNumberFormat="0" applyBorder="0" applyAlignment="0" applyProtection="0"/>
    <xf numFmtId="0" fontId="24" fillId="32" borderId="1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26" fillId="0" borderId="17" applyNumberFormat="0" applyFill="0" applyAlignment="0" applyProtection="0"/>
    <xf numFmtId="0" fontId="77" fillId="31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0" fillId="45" borderId="19" xfId="0" applyFill="1" applyBorder="1" applyAlignment="1">
      <alignment/>
    </xf>
    <xf numFmtId="0" fontId="32" fillId="0" borderId="0" xfId="0" applyFont="1" applyAlignment="1">
      <alignment/>
    </xf>
    <xf numFmtId="0" fontId="32" fillId="46" borderId="0" xfId="0" applyFont="1" applyFill="1" applyAlignment="1">
      <alignment horizontal="center"/>
    </xf>
    <xf numFmtId="0" fontId="33" fillId="46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20" xfId="0" applyFont="1" applyBorder="1" applyAlignment="1">
      <alignment/>
    </xf>
    <xf numFmtId="0" fontId="37" fillId="45" borderId="21" xfId="0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38" fillId="0" borderId="0" xfId="0" applyFont="1" applyBorder="1" applyAlignment="1">
      <alignment/>
    </xf>
    <xf numFmtId="0" fontId="37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7" fillId="45" borderId="21" xfId="0" applyFont="1" applyFill="1" applyBorder="1" applyAlignment="1">
      <alignment/>
    </xf>
    <xf numFmtId="0" fontId="37" fillId="0" borderId="20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39" fillId="0" borderId="24" xfId="0" applyFont="1" applyFill="1" applyBorder="1" applyAlignment="1">
      <alignment/>
    </xf>
    <xf numFmtId="0" fontId="37" fillId="0" borderId="23" xfId="0" applyFont="1" applyBorder="1" applyAlignment="1">
      <alignment horizontal="left"/>
    </xf>
    <xf numFmtId="165" fontId="37" fillId="45" borderId="24" xfId="0" applyNumberFormat="1" applyFont="1" applyFill="1" applyBorder="1" applyAlignment="1" applyProtection="1">
      <alignment/>
      <protection/>
    </xf>
    <xf numFmtId="0" fontId="39" fillId="0" borderId="0" xfId="0" applyFont="1" applyBorder="1" applyAlignment="1">
      <alignment/>
    </xf>
    <xf numFmtId="0" fontId="39" fillId="0" borderId="23" xfId="0" applyFont="1" applyBorder="1" applyAlignment="1">
      <alignment horizontal="right"/>
    </xf>
    <xf numFmtId="165" fontId="39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23" xfId="0" applyFont="1" applyFill="1" applyBorder="1" applyAlignment="1">
      <alignment horizontal="right"/>
    </xf>
    <xf numFmtId="2" fontId="39" fillId="0" borderId="24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4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24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37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7" fillId="45" borderId="26" xfId="0" applyFont="1" applyFill="1" applyBorder="1" applyAlignment="1">
      <alignment/>
    </xf>
    <xf numFmtId="0" fontId="37" fillId="45" borderId="24" xfId="0" applyFont="1" applyFill="1" applyBorder="1" applyAlignment="1">
      <alignment/>
    </xf>
    <xf numFmtId="0" fontId="0" fillId="0" borderId="0" xfId="0" applyAlignment="1">
      <alignment horizontal="right"/>
    </xf>
    <xf numFmtId="0" fontId="36" fillId="46" borderId="0" xfId="0" applyFont="1" applyFill="1" applyAlignment="1">
      <alignment horizontal="center"/>
    </xf>
    <xf numFmtId="0" fontId="0" fillId="46" borderId="0" xfId="0" applyFill="1" applyAlignment="1">
      <alignment/>
    </xf>
    <xf numFmtId="0" fontId="29" fillId="0" borderId="25" xfId="0" applyFont="1" applyFill="1" applyBorder="1" applyAlignment="1">
      <alignment horizontal="right"/>
    </xf>
    <xf numFmtId="2" fontId="29" fillId="0" borderId="26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29" fillId="0" borderId="25" xfId="0" applyFont="1" applyBorder="1" applyAlignment="1">
      <alignment horizontal="right"/>
    </xf>
    <xf numFmtId="165" fontId="29" fillId="0" borderId="26" xfId="0" applyNumberFormat="1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29" fillId="0" borderId="26" xfId="0" applyFont="1" applyFill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6" fillId="0" borderId="0" xfId="0" applyFont="1" applyAlignment="1">
      <alignment horizontal="left"/>
    </xf>
    <xf numFmtId="0" fontId="39" fillId="0" borderId="28" xfId="0" applyFont="1" applyBorder="1" applyAlignment="1">
      <alignment horizontal="left"/>
    </xf>
    <xf numFmtId="1" fontId="39" fillId="0" borderId="2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42" fillId="0" borderId="23" xfId="74" applyNumberFormat="1" applyFont="1" applyFill="1" applyBorder="1" applyAlignment="1" applyProtection="1">
      <alignment/>
      <protection/>
    </xf>
    <xf numFmtId="0" fontId="42" fillId="0" borderId="0" xfId="74" applyNumberFormat="1" applyFont="1" applyFill="1" applyBorder="1" applyAlignment="1" applyProtection="1">
      <alignment/>
      <protection/>
    </xf>
    <xf numFmtId="0" fontId="39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6" fillId="46" borderId="30" xfId="0" applyFont="1" applyFill="1" applyBorder="1" applyAlignment="1">
      <alignment horizontal="center"/>
    </xf>
    <xf numFmtId="0" fontId="37" fillId="46" borderId="31" xfId="0" applyFont="1" applyFill="1" applyBorder="1" applyAlignment="1">
      <alignment/>
    </xf>
    <xf numFmtId="0" fontId="2" fillId="47" borderId="32" xfId="0" applyFont="1" applyFill="1" applyBorder="1" applyAlignment="1">
      <alignment horizontal="left"/>
    </xf>
    <xf numFmtId="1" fontId="37" fillId="47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47" borderId="34" xfId="0" applyFont="1" applyFill="1" applyBorder="1" applyAlignment="1">
      <alignment horizontal="left"/>
    </xf>
    <xf numFmtId="2" fontId="37" fillId="47" borderId="35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right"/>
    </xf>
    <xf numFmtId="2" fontId="29" fillId="0" borderId="24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right"/>
    </xf>
    <xf numFmtId="1" fontId="29" fillId="0" borderId="21" xfId="0" applyNumberFormat="1" applyFont="1" applyFill="1" applyBorder="1" applyAlignment="1">
      <alignment/>
    </xf>
    <xf numFmtId="1" fontId="37" fillId="47" borderId="35" xfId="0" applyNumberFormat="1" applyFont="1" applyFill="1" applyBorder="1" applyAlignment="1">
      <alignment/>
    </xf>
    <xf numFmtId="1" fontId="29" fillId="0" borderId="24" xfId="0" applyNumberFormat="1" applyFont="1" applyFill="1" applyBorder="1" applyAlignment="1">
      <alignment/>
    </xf>
    <xf numFmtId="1" fontId="29" fillId="0" borderId="26" xfId="0" applyNumberFormat="1" applyFont="1" applyFill="1" applyBorder="1" applyAlignment="1">
      <alignment/>
    </xf>
    <xf numFmtId="0" fontId="37" fillId="47" borderId="34" xfId="0" applyFont="1" applyFill="1" applyBorder="1" applyAlignment="1">
      <alignment horizontal="left"/>
    </xf>
    <xf numFmtId="0" fontId="37" fillId="47" borderId="35" xfId="0" applyFont="1" applyFill="1" applyBorder="1" applyAlignment="1">
      <alignment/>
    </xf>
    <xf numFmtId="0" fontId="39" fillId="0" borderId="25" xfId="0" applyFont="1" applyFill="1" applyBorder="1" applyAlignment="1">
      <alignment horizontal="right"/>
    </xf>
    <xf numFmtId="2" fontId="39" fillId="0" borderId="26" xfId="0" applyNumberFormat="1" applyFont="1" applyFill="1" applyBorder="1" applyAlignment="1">
      <alignment/>
    </xf>
    <xf numFmtId="0" fontId="39" fillId="0" borderId="28" xfId="0" applyFont="1" applyFill="1" applyBorder="1" applyAlignment="1">
      <alignment horizontal="right"/>
    </xf>
    <xf numFmtId="2" fontId="39" fillId="0" borderId="29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5" fillId="0" borderId="0" xfId="0" applyNumberFormat="1" applyFont="1" applyAlignment="1">
      <alignment/>
    </xf>
    <xf numFmtId="165" fontId="37" fillId="47" borderId="35" xfId="0" applyNumberFormat="1" applyFont="1" applyFill="1" applyBorder="1" applyAlignment="1">
      <alignment/>
    </xf>
    <xf numFmtId="1" fontId="39" fillId="0" borderId="24" xfId="0" applyNumberFormat="1" applyFont="1" applyFill="1" applyBorder="1" applyAlignment="1">
      <alignment/>
    </xf>
    <xf numFmtId="0" fontId="37" fillId="47" borderId="36" xfId="0" applyFont="1" applyFill="1" applyBorder="1" applyAlignment="1">
      <alignment horizontal="left"/>
    </xf>
    <xf numFmtId="1" fontId="37" fillId="47" borderId="37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2" fontId="0" fillId="0" borderId="21" xfId="0" applyNumberForma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166" fontId="0" fillId="0" borderId="24" xfId="0" applyNumberFormat="1" applyFill="1" applyBorder="1" applyAlignment="1">
      <alignment/>
    </xf>
    <xf numFmtId="0" fontId="36" fillId="48" borderId="0" xfId="0" applyFont="1" applyFill="1" applyAlignment="1">
      <alignment horizontal="center"/>
    </xf>
    <xf numFmtId="2" fontId="0" fillId="0" borderId="24" xfId="0" applyNumberFormat="1" applyFill="1" applyBorder="1" applyAlignment="1">
      <alignment/>
    </xf>
    <xf numFmtId="0" fontId="0" fillId="0" borderId="20" xfId="0" applyBorder="1" applyAlignment="1">
      <alignment/>
    </xf>
    <xf numFmtId="0" fontId="39" fillId="0" borderId="20" xfId="0" applyFont="1" applyFill="1" applyBorder="1" applyAlignment="1">
      <alignment horizontal="right"/>
    </xf>
    <xf numFmtId="2" fontId="39" fillId="0" borderId="21" xfId="0" applyNumberFormat="1" applyFont="1" applyFill="1" applyBorder="1" applyAlignment="1">
      <alignment/>
    </xf>
    <xf numFmtId="1" fontId="0" fillId="0" borderId="24" xfId="0" applyNumberFormat="1" applyFill="1" applyBorder="1" applyAlignment="1">
      <alignment/>
    </xf>
    <xf numFmtId="0" fontId="0" fillId="0" borderId="23" xfId="0" applyBorder="1" applyAlignment="1">
      <alignment/>
    </xf>
    <xf numFmtId="0" fontId="45" fillId="0" borderId="0" xfId="0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0" fontId="45" fillId="0" borderId="23" xfId="0" applyFont="1" applyBorder="1" applyAlignment="1">
      <alignment horizontal="right"/>
    </xf>
    <xf numFmtId="1" fontId="45" fillId="0" borderId="24" xfId="0" applyNumberFormat="1" applyFont="1" applyBorder="1" applyAlignment="1">
      <alignment/>
    </xf>
    <xf numFmtId="0" fontId="45" fillId="0" borderId="25" xfId="0" applyFont="1" applyBorder="1" applyAlignment="1">
      <alignment horizontal="right"/>
    </xf>
    <xf numFmtId="1" fontId="45" fillId="0" borderId="26" xfId="0" applyNumberFormat="1" applyFont="1" applyBorder="1" applyAlignment="1">
      <alignment/>
    </xf>
    <xf numFmtId="2" fontId="39" fillId="0" borderId="24" xfId="0" applyNumberFormat="1" applyFont="1" applyBorder="1" applyAlignment="1">
      <alignment/>
    </xf>
    <xf numFmtId="167" fontId="29" fillId="0" borderId="2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7" fillId="48" borderId="23" xfId="0" applyFont="1" applyFill="1" applyBorder="1" applyAlignment="1">
      <alignment horizontal="left"/>
    </xf>
    <xf numFmtId="0" fontId="32" fillId="46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46" borderId="0" xfId="0" applyFont="1" applyFill="1" applyAlignment="1">
      <alignment/>
    </xf>
    <xf numFmtId="0" fontId="37" fillId="46" borderId="0" xfId="0" applyFont="1" applyFill="1" applyAlignment="1">
      <alignment/>
    </xf>
    <xf numFmtId="0" fontId="37" fillId="0" borderId="38" xfId="0" applyFont="1" applyBorder="1" applyAlignment="1">
      <alignment horizontal="center" vertical="center" wrapText="1"/>
    </xf>
    <xf numFmtId="0" fontId="37" fillId="0" borderId="21" xfId="0" applyFont="1" applyBorder="1" applyAlignment="1">
      <alignment/>
    </xf>
    <xf numFmtId="0" fontId="31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38" xfId="0" applyFont="1" applyBorder="1" applyAlignment="1">
      <alignment/>
    </xf>
    <xf numFmtId="0" fontId="37" fillId="0" borderId="39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wrapText="1"/>
    </xf>
    <xf numFmtId="2" fontId="0" fillId="0" borderId="42" xfId="0" applyNumberFormat="1" applyFont="1" applyBorder="1" applyAlignment="1">
      <alignment wrapText="1"/>
    </xf>
    <xf numFmtId="2" fontId="0" fillId="0" borderId="41" xfId="0" applyNumberFormat="1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35" fillId="0" borderId="1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3" xfId="0" applyFont="1" applyBorder="1" applyAlignment="1">
      <alignment wrapText="1"/>
    </xf>
    <xf numFmtId="2" fontId="0" fillId="0" borderId="19" xfId="0" applyNumberFormat="1" applyFont="1" applyBorder="1" applyAlignment="1">
      <alignment wrapText="1"/>
    </xf>
    <xf numFmtId="2" fontId="0" fillId="0" borderId="44" xfId="0" applyNumberFormat="1" applyFont="1" applyBorder="1" applyAlignment="1">
      <alignment wrapText="1"/>
    </xf>
    <xf numFmtId="0" fontId="0" fillId="0" borderId="39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3" xfId="0" applyFont="1" applyFill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Border="1" applyAlignment="1">
      <alignment horizontal="left"/>
    </xf>
    <xf numFmtId="0" fontId="35" fillId="0" borderId="49" xfId="0" applyFont="1" applyBorder="1" applyAlignment="1">
      <alignment/>
    </xf>
    <xf numFmtId="2" fontId="0" fillId="0" borderId="46" xfId="0" applyNumberFormat="1" applyBorder="1" applyAlignment="1">
      <alignment/>
    </xf>
    <xf numFmtId="0" fontId="0" fillId="0" borderId="45" xfId="0" applyFont="1" applyBorder="1" applyAlignment="1">
      <alignment wrapText="1"/>
    </xf>
    <xf numFmtId="2" fontId="0" fillId="0" borderId="49" xfId="0" applyNumberFormat="1" applyFont="1" applyBorder="1" applyAlignment="1">
      <alignment wrapText="1"/>
    </xf>
    <xf numFmtId="2" fontId="0" fillId="0" borderId="4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readingOrder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46" borderId="0" xfId="0" applyFill="1" applyBorder="1" applyAlignment="1" applyProtection="1">
      <alignment/>
      <protection locked="0"/>
    </xf>
    <xf numFmtId="0" fontId="36" fillId="46" borderId="0" xfId="0" applyFont="1" applyFill="1" applyAlignment="1">
      <alignment horizontal="right"/>
    </xf>
    <xf numFmtId="0" fontId="37" fillId="0" borderId="23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25" xfId="0" applyFont="1" applyBorder="1" applyAlignment="1">
      <alignment/>
    </xf>
    <xf numFmtId="0" fontId="5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0" fontId="0" fillId="0" borderId="31" xfId="0" applyBorder="1" applyAlignment="1">
      <alignment horizontal="left"/>
    </xf>
    <xf numFmtId="0" fontId="0" fillId="0" borderId="54" xfId="0" applyBorder="1" applyAlignment="1">
      <alignment/>
    </xf>
    <xf numFmtId="0" fontId="35" fillId="0" borderId="0" xfId="0" applyFont="1" applyBorder="1" applyAlignment="1">
      <alignment/>
    </xf>
    <xf numFmtId="2" fontId="0" fillId="0" borderId="55" xfId="0" applyNumberFormat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36" xfId="0" applyBorder="1" applyAlignment="1">
      <alignment/>
    </xf>
    <xf numFmtId="0" fontId="35" fillId="0" borderId="56" xfId="0" applyFont="1" applyBorder="1" applyAlignment="1">
      <alignment/>
    </xf>
    <xf numFmtId="2" fontId="0" fillId="0" borderId="37" xfId="0" applyNumberFormat="1" applyBorder="1" applyAlignment="1">
      <alignment horizontal="left"/>
    </xf>
    <xf numFmtId="0" fontId="39" fillId="0" borderId="0" xfId="0" applyFont="1" applyAlignment="1">
      <alignment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7" xfId="0" applyFont="1" applyBorder="1" applyAlignment="1">
      <alignment/>
    </xf>
    <xf numFmtId="0" fontId="36" fillId="49" borderId="0" xfId="0" applyFont="1" applyFill="1" applyAlignment="1">
      <alignment/>
    </xf>
    <xf numFmtId="2" fontId="0" fillId="0" borderId="0" xfId="0" applyNumberFormat="1" applyAlignment="1">
      <alignment/>
    </xf>
    <xf numFmtId="0" fontId="0" fillId="50" borderId="0" xfId="0" applyFont="1" applyFill="1" applyAlignment="1">
      <alignment/>
    </xf>
    <xf numFmtId="166" fontId="0" fillId="50" borderId="0" xfId="0" applyNumberFormat="1" applyFill="1" applyAlignment="1">
      <alignment/>
    </xf>
    <xf numFmtId="0" fontId="37" fillId="51" borderId="28" xfId="0" applyFont="1" applyFill="1" applyBorder="1" applyAlignment="1">
      <alignment/>
    </xf>
    <xf numFmtId="2" fontId="37" fillId="51" borderId="29" xfId="0" applyNumberFormat="1" applyFont="1" applyFill="1" applyBorder="1" applyAlignment="1">
      <alignment/>
    </xf>
    <xf numFmtId="168" fontId="0" fillId="50" borderId="0" xfId="0" applyNumberFormat="1" applyFill="1" applyAlignment="1">
      <alignment/>
    </xf>
    <xf numFmtId="2" fontId="0" fillId="50" borderId="0" xfId="0" applyNumberFormat="1" applyFill="1" applyAlignment="1">
      <alignment/>
    </xf>
    <xf numFmtId="169" fontId="0" fillId="5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70" fontId="0" fillId="5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38" xfId="0" applyFont="1" applyBorder="1" applyAlignment="1">
      <alignment horizont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 1" xfId="47"/>
    <cellStyle name="Bad 2" xfId="48"/>
    <cellStyle name="Bad 3" xfId="49"/>
    <cellStyle name="Berekening" xfId="50"/>
    <cellStyle name="Calculation" xfId="51"/>
    <cellStyle name="Check Cell" xfId="52"/>
    <cellStyle name="Controlecel" xfId="53"/>
    <cellStyle name="Error 1" xfId="54"/>
    <cellStyle name="Error 2" xfId="55"/>
    <cellStyle name="Explanatory Text" xfId="56"/>
    <cellStyle name="Footnote 1" xfId="57"/>
    <cellStyle name="Footnote 2" xfId="58"/>
    <cellStyle name="Gekoppelde cel" xfId="59"/>
    <cellStyle name="Goed" xfId="60"/>
    <cellStyle name="Good 1" xfId="61"/>
    <cellStyle name="Good 2" xfId="62"/>
    <cellStyle name="Good 3" xfId="63"/>
    <cellStyle name="Heading 1 1" xfId="64"/>
    <cellStyle name="Heading 1 2" xfId="65"/>
    <cellStyle name="Heading 1 3" xfId="66"/>
    <cellStyle name="Heading 2 1" xfId="67"/>
    <cellStyle name="Heading 2 2" xfId="68"/>
    <cellStyle name="Heading 2 3" xfId="69"/>
    <cellStyle name="Heading 3" xfId="70"/>
    <cellStyle name="Heading 4" xfId="71"/>
    <cellStyle name="Heading 5" xfId="72"/>
    <cellStyle name="Heading 6" xfId="73"/>
    <cellStyle name="Hyperlink" xfId="74"/>
    <cellStyle name="Hyperlink 1" xfId="75"/>
    <cellStyle name="Hyperlink 2" xfId="76"/>
    <cellStyle name="Input" xfId="77"/>
    <cellStyle name="Invoer" xfId="78"/>
    <cellStyle name="Comma" xfId="79"/>
    <cellStyle name="Comma [0]" xfId="80"/>
    <cellStyle name="Kop 1" xfId="81"/>
    <cellStyle name="Kop 2" xfId="82"/>
    <cellStyle name="Kop 3" xfId="83"/>
    <cellStyle name="Kop 4" xfId="84"/>
    <cellStyle name="Linked Cell" xfId="85"/>
    <cellStyle name="Neutraal" xfId="86"/>
    <cellStyle name="Neutral 1" xfId="87"/>
    <cellStyle name="Neutral 2" xfId="88"/>
    <cellStyle name="Neutral 3" xfId="89"/>
    <cellStyle name="Note 1" xfId="90"/>
    <cellStyle name="Note 2" xfId="91"/>
    <cellStyle name="Note 3" xfId="92"/>
    <cellStyle name="Notitie" xfId="93"/>
    <cellStyle name="Ongeldig" xfId="94"/>
    <cellStyle name="Output" xfId="95"/>
    <cellStyle name="Percent" xfId="96"/>
    <cellStyle name="Status 1" xfId="97"/>
    <cellStyle name="Status 2" xfId="98"/>
    <cellStyle name="Text 1" xfId="99"/>
    <cellStyle name="Text 2" xfId="100"/>
    <cellStyle name="Titel" xfId="101"/>
    <cellStyle name="Title" xfId="102"/>
    <cellStyle name="Totaal" xfId="103"/>
    <cellStyle name="Total" xfId="104"/>
    <cellStyle name="Uitvoer" xfId="105"/>
    <cellStyle name="Currency" xfId="106"/>
    <cellStyle name="Currency [0]" xfId="107"/>
    <cellStyle name="Verklarende tekst" xfId="108"/>
    <cellStyle name="Waarschuwingstekst" xfId="109"/>
    <cellStyle name="Warning 1" xfId="110"/>
    <cellStyle name="Warning 2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FCCCC"/>
      <rgbColor rgb="004600A5"/>
      <rgbColor rgb="00FF8080"/>
      <rgbColor rgb="000066CC"/>
      <rgbColor rgb="00DDDDDD"/>
      <rgbColor rgb="00000080"/>
      <rgbColor rgb="00FF00FF"/>
      <rgbColor rgb="00FCF305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64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osurf.org/buil/us/stage/calcul/design_us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ha.de/astro_article_ccd_sortable_compar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85" zoomScaleNormal="85" zoomScalePageLayoutView="0" workbookViewId="0" topLeftCell="A1">
      <selection activeCell="G22" sqref="G22"/>
    </sheetView>
  </sheetViews>
  <sheetFormatPr defaultColWidth="11.28125" defaultRowHeight="12.75" customHeight="1"/>
  <cols>
    <col min="1" max="1" width="24.8515625" style="0" customWidth="1"/>
    <col min="2" max="2" width="6.140625" style="0" customWidth="1"/>
    <col min="3" max="3" width="7.00390625" style="0" customWidth="1"/>
    <col min="4" max="4" width="10.00390625" style="0" customWidth="1"/>
    <col min="5" max="5" width="4.140625" style="0" customWidth="1"/>
    <col min="6" max="6" width="42.57421875" style="0" customWidth="1"/>
    <col min="7" max="7" width="10.00390625" style="0" customWidth="1"/>
    <col min="8" max="8" width="7.57421875" style="0" customWidth="1"/>
    <col min="9" max="9" width="3.28125" style="0" customWidth="1"/>
    <col min="10" max="10" width="26.8515625" style="0" customWidth="1"/>
    <col min="11" max="11" width="9.57421875" style="0" customWidth="1"/>
    <col min="12" max="12" width="9.140625" style="0" customWidth="1"/>
    <col min="13" max="13" width="7.8515625" style="0" customWidth="1"/>
    <col min="14" max="14" width="6.140625" style="0" customWidth="1"/>
  </cols>
  <sheetData>
    <row r="1" spans="1:11" ht="15" customHeight="1">
      <c r="A1" s="1" t="s">
        <v>0</v>
      </c>
      <c r="B1" s="1"/>
      <c r="F1" s="2"/>
      <c r="J1" s="3" t="s">
        <v>1</v>
      </c>
      <c r="K1" s="4">
        <v>42692</v>
      </c>
    </row>
    <row r="2" spans="1:13" ht="15" customHeight="1">
      <c r="A2" s="1"/>
      <c r="B2" s="1"/>
      <c r="M2" s="5"/>
    </row>
    <row r="3" spans="1:13" ht="15" customHeight="1">
      <c r="A3" s="6" t="s">
        <v>2</v>
      </c>
      <c r="B3" s="6"/>
      <c r="D3" s="7"/>
      <c r="M3" s="5"/>
    </row>
    <row r="4" spans="1:13" ht="15" customHeight="1">
      <c r="A4" s="6"/>
      <c r="B4" s="6"/>
      <c r="F4" s="8"/>
      <c r="M4" s="5"/>
    </row>
    <row r="5" spans="1:21" ht="15" customHeight="1">
      <c r="A5" s="9" t="s">
        <v>3</v>
      </c>
      <c r="B5" s="9"/>
      <c r="C5" s="10"/>
      <c r="D5" s="11"/>
      <c r="E5" s="11"/>
      <c r="F5" s="9" t="s">
        <v>4</v>
      </c>
      <c r="G5" s="10"/>
      <c r="H5" s="11"/>
      <c r="I5" s="11"/>
      <c r="J5" s="9" t="s">
        <v>5</v>
      </c>
      <c r="K5" s="10"/>
      <c r="Q5" s="12" t="s">
        <v>6</v>
      </c>
      <c r="U5" s="13" t="s">
        <v>7</v>
      </c>
    </row>
    <row r="6" spans="5:21" ht="12.75" customHeight="1">
      <c r="E6" s="5"/>
      <c r="F6" s="14" t="s">
        <v>8</v>
      </c>
      <c r="J6" s="15" t="s">
        <v>9</v>
      </c>
      <c r="K6" s="16" t="s">
        <v>10</v>
      </c>
      <c r="Q6" s="17">
        <v>0</v>
      </c>
      <c r="R6" s="18">
        <v>0</v>
      </c>
      <c r="U6" s="19">
        <f>_XLL.AFRONDEN.N.VEELVOUD($G$32,250)</f>
        <v>6500</v>
      </c>
    </row>
    <row r="7" spans="1:21" ht="12.75" customHeight="1">
      <c r="A7" s="20" t="s">
        <v>11</v>
      </c>
      <c r="B7" s="21"/>
      <c r="C7" s="22">
        <v>203</v>
      </c>
      <c r="D7" s="5" t="s">
        <v>12</v>
      </c>
      <c r="E7" s="5"/>
      <c r="F7" s="23" t="s">
        <v>13</v>
      </c>
      <c r="G7" s="22">
        <v>125</v>
      </c>
      <c r="H7" s="5" t="s">
        <v>12</v>
      </c>
      <c r="I7" s="5"/>
      <c r="J7" s="24" t="s">
        <v>14</v>
      </c>
      <c r="K7" s="25">
        <f>VLOOKUP($K$6,'Data Tables'!$N$4:$R$35,3,FALSE)</f>
        <v>6.45</v>
      </c>
      <c r="L7" s="5" t="s">
        <v>15</v>
      </c>
      <c r="Q7" s="17">
        <v>0.05</v>
      </c>
      <c r="R7" s="18">
        <v>0.05</v>
      </c>
      <c r="U7" s="5"/>
    </row>
    <row r="8" spans="1:21" ht="12.75" customHeight="1">
      <c r="A8" s="26" t="s">
        <v>16</v>
      </c>
      <c r="C8" s="27">
        <v>10</v>
      </c>
      <c r="D8" s="5"/>
      <c r="E8" s="28"/>
      <c r="F8" s="29" t="s">
        <v>17</v>
      </c>
      <c r="G8" s="30">
        <f>C8</f>
        <v>10</v>
      </c>
      <c r="H8" s="5"/>
      <c r="I8" s="5"/>
      <c r="J8" s="24" t="s">
        <v>18</v>
      </c>
      <c r="K8" s="25">
        <f>VLOOKUP($K$6,'Data Tables'!$N$4:$R$35,2,FALSE)</f>
        <v>1392</v>
      </c>
      <c r="L8" s="31"/>
      <c r="Q8" s="18">
        <v>0.1</v>
      </c>
      <c r="R8" s="18">
        <v>0.09</v>
      </c>
      <c r="U8" s="5"/>
    </row>
    <row r="9" spans="1:21" ht="12.75" customHeight="1">
      <c r="A9" s="29" t="s">
        <v>19</v>
      </c>
      <c r="B9" s="32"/>
      <c r="C9" s="25">
        <f>C7*C8</f>
        <v>2030</v>
      </c>
      <c r="D9" s="5" t="s">
        <v>12</v>
      </c>
      <c r="E9" s="5"/>
      <c r="F9" s="33" t="s">
        <v>20</v>
      </c>
      <c r="G9" s="30">
        <f>C7*G7/C9</f>
        <v>12.5</v>
      </c>
      <c r="H9" s="5" t="s">
        <v>12</v>
      </c>
      <c r="I9" s="5"/>
      <c r="J9" s="24" t="s">
        <v>21</v>
      </c>
      <c r="K9" s="34">
        <f>VLOOKUP($U$6,'Data Tables'!$J$4:$L$22,3,FALSE)</f>
        <v>52.8</v>
      </c>
      <c r="L9" s="5" t="s">
        <v>22</v>
      </c>
      <c r="Q9" s="18">
        <v>0.15</v>
      </c>
      <c r="R9" s="18">
        <v>0.14</v>
      </c>
      <c r="U9" s="5"/>
    </row>
    <row r="10" spans="1:21" ht="12.75" customHeight="1">
      <c r="A10" s="35" t="s">
        <v>23</v>
      </c>
      <c r="C10" s="36">
        <v>55.88</v>
      </c>
      <c r="D10" s="37" t="s">
        <v>12</v>
      </c>
      <c r="E10" s="5"/>
      <c r="F10" s="38" t="s">
        <v>24</v>
      </c>
      <c r="G10" s="39">
        <v>1</v>
      </c>
      <c r="H10" s="5" t="s">
        <v>15</v>
      </c>
      <c r="I10" s="5"/>
      <c r="J10" s="24" t="s">
        <v>25</v>
      </c>
      <c r="K10" s="25">
        <f>VLOOKUP($K$6,'Data Tables'!$N$4:$R$35,4,FALSE)</f>
        <v>4</v>
      </c>
      <c r="L10" s="5" t="s">
        <v>26</v>
      </c>
      <c r="Q10" s="18">
        <v>0.2</v>
      </c>
      <c r="R10" s="18">
        <v>0.19</v>
      </c>
      <c r="U10" s="5"/>
    </row>
    <row r="11" spans="1:21" ht="12.75" customHeight="1">
      <c r="A11" s="24" t="s">
        <v>27</v>
      </c>
      <c r="B11" s="40"/>
      <c r="C11" s="41">
        <f>C10/C7</f>
        <v>0.27527093596059116</v>
      </c>
      <c r="D11" s="5"/>
      <c r="E11" s="5"/>
      <c r="F11" s="42" t="s">
        <v>28</v>
      </c>
      <c r="G11" s="43"/>
      <c r="J11" s="24" t="s">
        <v>29</v>
      </c>
      <c r="K11" s="25">
        <f>VLOOKUP($K$6,'Data Tables'!$N$4:$R$35,5,FALSE)</f>
        <v>0.0005</v>
      </c>
      <c r="L11" s="5" t="s">
        <v>30</v>
      </c>
      <c r="Q11" s="18">
        <v>0.25</v>
      </c>
      <c r="R11" s="18">
        <v>0.23</v>
      </c>
      <c r="U11" s="5"/>
    </row>
    <row r="12" spans="1:21" ht="12.75" customHeight="1">
      <c r="A12" s="44" t="s">
        <v>31</v>
      </c>
      <c r="B12" s="45"/>
      <c r="C12" s="46">
        <v>0.95</v>
      </c>
      <c r="D12" s="5"/>
      <c r="F12" s="20" t="s">
        <v>32</v>
      </c>
      <c r="G12" s="22">
        <v>100</v>
      </c>
      <c r="H12" s="5" t="s">
        <v>12</v>
      </c>
      <c r="I12" s="5"/>
      <c r="J12" s="26" t="s">
        <v>33</v>
      </c>
      <c r="K12" s="47">
        <v>1</v>
      </c>
      <c r="L12" s="5"/>
      <c r="Q12" s="18">
        <v>0.30000000000000004</v>
      </c>
      <c r="R12" s="18">
        <v>0.28</v>
      </c>
      <c r="U12" s="5"/>
    </row>
    <row r="13" spans="1:21" ht="12.75" customHeight="1">
      <c r="A13" s="48"/>
      <c r="B13" s="48"/>
      <c r="E13" s="5"/>
      <c r="F13" s="26" t="s">
        <v>34</v>
      </c>
      <c r="G13" s="47">
        <v>30</v>
      </c>
      <c r="H13" s="5" t="s">
        <v>12</v>
      </c>
      <c r="I13" s="5"/>
      <c r="J13" s="26" t="s">
        <v>35</v>
      </c>
      <c r="K13" s="47">
        <v>1</v>
      </c>
      <c r="L13" s="5"/>
      <c r="Q13" s="18">
        <v>0.35</v>
      </c>
      <c r="R13" s="18">
        <v>0.32</v>
      </c>
      <c r="U13" s="5"/>
    </row>
    <row r="14" spans="1:21" ht="12.75" customHeight="1">
      <c r="A14" s="49" t="s">
        <v>36</v>
      </c>
      <c r="B14" s="49"/>
      <c r="C14" s="50"/>
      <c r="E14" s="5"/>
      <c r="F14" s="33" t="s">
        <v>37</v>
      </c>
      <c r="G14" s="30">
        <f>G7/C39/C8+G13*K7*K8/G12/1000</f>
        <v>28.326787912467516</v>
      </c>
      <c r="H14" s="5" t="s">
        <v>12</v>
      </c>
      <c r="I14" s="5"/>
      <c r="J14" s="51" t="s">
        <v>38</v>
      </c>
      <c r="K14" s="52">
        <f>C41/K7/K12</f>
        <v>2.0963451992301985</v>
      </c>
      <c r="L14" s="5"/>
      <c r="Q14" s="18">
        <v>0.4</v>
      </c>
      <c r="R14" s="18">
        <v>0.36</v>
      </c>
      <c r="U14" s="5"/>
    </row>
    <row r="15" spans="1:21" ht="12.75" customHeight="1">
      <c r="A15" s="20" t="s">
        <v>39</v>
      </c>
      <c r="B15" s="21"/>
      <c r="C15" s="22">
        <v>3</v>
      </c>
      <c r="D15" s="5" t="s">
        <v>40</v>
      </c>
      <c r="E15" s="5"/>
      <c r="F15" s="33" t="s">
        <v>41</v>
      </c>
      <c r="G15" s="30">
        <f>G12/G14</f>
        <v>3.5302272996504076</v>
      </c>
      <c r="H15" s="5"/>
      <c r="I15" s="5"/>
      <c r="J15" s="53" t="s">
        <v>42</v>
      </c>
      <c r="K15" s="5"/>
      <c r="L15" s="5"/>
      <c r="Q15" s="18">
        <v>0.45</v>
      </c>
      <c r="R15" s="18">
        <v>0.4</v>
      </c>
      <c r="U15" s="5"/>
    </row>
    <row r="16" spans="1:21" ht="12.75" customHeight="1">
      <c r="A16" s="26" t="s">
        <v>43</v>
      </c>
      <c r="B16" s="40"/>
      <c r="C16" s="47">
        <v>0.8</v>
      </c>
      <c r="D16" s="5"/>
      <c r="E16" s="5"/>
      <c r="F16" s="38" t="s">
        <v>44</v>
      </c>
      <c r="G16" s="39">
        <v>1</v>
      </c>
      <c r="H16" s="5" t="s">
        <v>15</v>
      </c>
      <c r="I16" s="5"/>
      <c r="J16" s="20" t="s">
        <v>45</v>
      </c>
      <c r="K16" s="22">
        <v>600</v>
      </c>
      <c r="L16" s="5" t="s">
        <v>46</v>
      </c>
      <c r="Q16" s="18">
        <v>0.5</v>
      </c>
      <c r="R16" s="18">
        <v>0.44</v>
      </c>
      <c r="U16" s="5"/>
    </row>
    <row r="17" spans="1:21" ht="12.75" customHeight="1">
      <c r="A17" s="26" t="s">
        <v>47</v>
      </c>
      <c r="B17" s="40"/>
      <c r="C17" s="47">
        <v>17</v>
      </c>
      <c r="D17" s="5"/>
      <c r="F17" s="40"/>
      <c r="G17" s="31"/>
      <c r="I17" s="5"/>
      <c r="J17" s="26" t="s">
        <v>48</v>
      </c>
      <c r="K17" s="47">
        <v>6</v>
      </c>
      <c r="L17" s="5"/>
      <c r="Q17" s="18">
        <v>0.6000000000000001</v>
      </c>
      <c r="R17" s="18">
        <v>0.52</v>
      </c>
      <c r="U17" s="5"/>
    </row>
    <row r="18" spans="1:21" ht="12.75" customHeight="1">
      <c r="A18" s="54"/>
      <c r="B18" s="55" t="s">
        <v>49</v>
      </c>
      <c r="C18" s="56">
        <f>TAN(RADIANS(C15/60/60))*C9*1000</f>
        <v>29.525153181652655</v>
      </c>
      <c r="D18" s="5" t="s">
        <v>15</v>
      </c>
      <c r="E18" s="5"/>
      <c r="F18" s="57" t="s">
        <v>50</v>
      </c>
      <c r="G18" s="22">
        <v>45</v>
      </c>
      <c r="H18" s="5" t="s">
        <v>51</v>
      </c>
      <c r="I18" s="5"/>
      <c r="J18" s="55" t="s">
        <v>52</v>
      </c>
      <c r="K18" s="58">
        <f>K17*K16</f>
        <v>3600</v>
      </c>
      <c r="L18" s="5" t="s">
        <v>46</v>
      </c>
      <c r="Q18" s="18">
        <v>0.7</v>
      </c>
      <c r="R18" s="18">
        <v>0.59</v>
      </c>
      <c r="U18" s="5"/>
    </row>
    <row r="19" spans="5:21" ht="12.75" customHeight="1">
      <c r="E19" s="5"/>
      <c r="F19" s="44" t="s">
        <v>53</v>
      </c>
      <c r="G19" s="46">
        <v>30</v>
      </c>
      <c r="H19" s="5" t="s">
        <v>15</v>
      </c>
      <c r="J19" s="59" t="s">
        <v>54</v>
      </c>
      <c r="M19" s="60"/>
      <c r="Q19" s="18">
        <v>0.8</v>
      </c>
      <c r="R19" s="18">
        <v>0.65</v>
      </c>
      <c r="U19" s="5"/>
    </row>
    <row r="20" spans="1:21" ht="12.75" customHeight="1">
      <c r="A20" s="53" t="s">
        <v>55</v>
      </c>
      <c r="B20" s="53"/>
      <c r="E20" s="5"/>
      <c r="F20" s="61" t="s">
        <v>56</v>
      </c>
      <c r="G20" s="60"/>
      <c r="H20" s="5"/>
      <c r="I20" s="5"/>
      <c r="J20" s="62" t="s">
        <v>57</v>
      </c>
      <c r="K20" s="63">
        <f>C18*3/(K7*K13)</f>
        <v>13.732629386815187</v>
      </c>
      <c r="L20" s="5" t="s">
        <v>58</v>
      </c>
      <c r="M20" s="60"/>
      <c r="N20" s="60"/>
      <c r="Q20" s="18">
        <v>0.9</v>
      </c>
      <c r="R20" s="18">
        <v>0.71</v>
      </c>
      <c r="U20" s="5"/>
    </row>
    <row r="21" spans="1:21" ht="12.75" customHeight="1">
      <c r="A21" s="64" t="s">
        <v>59</v>
      </c>
      <c r="B21" s="65"/>
      <c r="C21" s="65"/>
      <c r="D21" s="66"/>
      <c r="E21" s="5"/>
      <c r="F21" s="20" t="s">
        <v>60</v>
      </c>
      <c r="G21" s="22">
        <v>1800</v>
      </c>
      <c r="H21" s="5"/>
      <c r="I21" s="5"/>
      <c r="Q21" s="18">
        <v>1</v>
      </c>
      <c r="R21" s="18">
        <v>0.76</v>
      </c>
      <c r="U21" s="5"/>
    </row>
    <row r="22" spans="1:21" ht="12.75" customHeight="1">
      <c r="A22" s="67" t="s">
        <v>61</v>
      </c>
      <c r="B22" s="68"/>
      <c r="C22" s="28"/>
      <c r="D22" s="69"/>
      <c r="E22" s="5"/>
      <c r="F22" s="26" t="s">
        <v>62</v>
      </c>
      <c r="G22" s="47">
        <v>1</v>
      </c>
      <c r="I22" s="5"/>
      <c r="J22" s="49" t="s">
        <v>63</v>
      </c>
      <c r="K22" s="50"/>
      <c r="Q22" s="18">
        <v>1.1</v>
      </c>
      <c r="R22" s="18">
        <v>0.8</v>
      </c>
      <c r="U22" s="5"/>
    </row>
    <row r="23" spans="1:21" ht="12.75" customHeight="1">
      <c r="A23" s="70" t="str">
        <f>" (explanatory notes and worked example)"</f>
        <v> (explanatory notes and worked example)</v>
      </c>
      <c r="B23" s="71"/>
      <c r="C23" s="72"/>
      <c r="D23" s="73"/>
      <c r="F23" s="74" t="s">
        <v>64</v>
      </c>
      <c r="G23" s="36">
        <v>30</v>
      </c>
      <c r="H23" t="s">
        <v>12</v>
      </c>
      <c r="I23" s="31"/>
      <c r="J23" s="20" t="s">
        <v>65</v>
      </c>
      <c r="K23" s="22">
        <v>8</v>
      </c>
      <c r="L23" s="5"/>
      <c r="Q23" s="18">
        <v>1.2</v>
      </c>
      <c r="R23" s="18">
        <v>0.84</v>
      </c>
      <c r="U23" s="5"/>
    </row>
    <row r="24" spans="6:21" ht="13.5" customHeight="1">
      <c r="F24" s="74" t="s">
        <v>66</v>
      </c>
      <c r="G24" s="36">
        <v>30</v>
      </c>
      <c r="H24" t="s">
        <v>12</v>
      </c>
      <c r="I24" s="75"/>
      <c r="J24" s="26" t="s">
        <v>67</v>
      </c>
      <c r="K24" s="47">
        <v>10800</v>
      </c>
      <c r="L24" s="5" t="s">
        <v>68</v>
      </c>
      <c r="Q24" s="18">
        <v>1.4</v>
      </c>
      <c r="R24" s="18">
        <v>0.9</v>
      </c>
      <c r="U24" s="5"/>
    </row>
    <row r="25" spans="1:21" ht="13.5" customHeight="1">
      <c r="A25" s="76" t="s">
        <v>69</v>
      </c>
      <c r="B25" s="77"/>
      <c r="F25" s="33" t="s">
        <v>70</v>
      </c>
      <c r="G25" s="30">
        <f>G9</f>
        <v>12.5</v>
      </c>
      <c r="H25" s="5" t="s">
        <v>12</v>
      </c>
      <c r="I25" s="75"/>
      <c r="J25" s="44" t="s">
        <v>71</v>
      </c>
      <c r="K25" s="46">
        <v>-0.4</v>
      </c>
      <c r="L25" s="5"/>
      <c r="Q25" s="18">
        <v>1.6</v>
      </c>
      <c r="R25" s="18">
        <v>0.94</v>
      </c>
      <c r="U25" s="5"/>
    </row>
    <row r="26" spans="1:21" ht="12.75" customHeight="1">
      <c r="A26" s="78" t="s">
        <v>72</v>
      </c>
      <c r="B26" s="79">
        <f>G28</f>
        <v>9147.912449762895</v>
      </c>
      <c r="E26" s="80"/>
      <c r="F26" s="33" t="s">
        <v>73</v>
      </c>
      <c r="G26" s="30">
        <f>G9/COS(RADIANS(C37))</f>
        <v>26.839448010359824</v>
      </c>
      <c r="H26" s="5" t="s">
        <v>12</v>
      </c>
      <c r="I26" s="31"/>
      <c r="J26" s="53" t="s">
        <v>74</v>
      </c>
      <c r="Q26" s="18">
        <v>1.8</v>
      </c>
      <c r="R26" s="18">
        <v>0.96</v>
      </c>
      <c r="U26" s="5"/>
    </row>
    <row r="27" spans="1:21" ht="12.75" customHeight="1">
      <c r="A27" s="81" t="s">
        <v>75</v>
      </c>
      <c r="B27" s="82">
        <f>G29</f>
        <v>0.7174314398002472</v>
      </c>
      <c r="C27" s="5" t="s">
        <v>76</v>
      </c>
      <c r="F27" s="83" t="s">
        <v>77</v>
      </c>
      <c r="G27" s="84">
        <f>ABS(10000*K7*K12*COS(RADIANS(C38))/G22/G21/G12)</f>
        <v>0.34222962900561227</v>
      </c>
      <c r="H27" s="5" t="s">
        <v>78</v>
      </c>
      <c r="J27" s="85" t="s">
        <v>79</v>
      </c>
      <c r="K27" s="86">
        <f>K37/K39</f>
        <v>163.956106166383</v>
      </c>
      <c r="Q27" s="18">
        <v>2</v>
      </c>
      <c r="R27" s="18">
        <v>0.98</v>
      </c>
      <c r="U27" s="5"/>
    </row>
    <row r="28" spans="1:18" ht="12.75" customHeight="1">
      <c r="A28" s="81" t="s">
        <v>80</v>
      </c>
      <c r="B28" s="87">
        <f>G35</f>
        <v>476.38364357581304</v>
      </c>
      <c r="C28" s="5" t="s">
        <v>76</v>
      </c>
      <c r="F28" s="83" t="s">
        <v>81</v>
      </c>
      <c r="G28" s="88">
        <f>IF(K14&lt;2,ABS(1000*C39*G12/2/K7/K12*(TAN(RADIANS(C37))+SIN(RADIANS(C38))/COS(RADIANS(C37)))),ABS(1000*C39*G12/C41*(TAN(RADIANS(C37))+SIN(RADIANS(C38))/COS(RADIANS(C37)))))</f>
        <v>9147.912449762895</v>
      </c>
      <c r="H28" s="75"/>
      <c r="J28" s="51" t="s">
        <v>82</v>
      </c>
      <c r="K28" s="89">
        <f>$K$40</f>
        <v>237.3881274699257</v>
      </c>
      <c r="Q28" s="18">
        <v>10</v>
      </c>
      <c r="R28" s="18">
        <v>1</v>
      </c>
    </row>
    <row r="29" spans="1:12" ht="12.75" customHeight="1">
      <c r="A29" s="90" t="s">
        <v>83</v>
      </c>
      <c r="B29" s="91">
        <f>G21</f>
        <v>1800</v>
      </c>
      <c r="E29" s="31"/>
      <c r="F29" s="83" t="s">
        <v>84</v>
      </c>
      <c r="G29" s="84">
        <f>G32/G28</f>
        <v>0.7174314398002472</v>
      </c>
      <c r="H29" s="5" t="s">
        <v>76</v>
      </c>
      <c r="I29" s="31"/>
      <c r="J29" s="59" t="s">
        <v>85</v>
      </c>
      <c r="K29" s="60"/>
      <c r="L29" s="31"/>
    </row>
    <row r="30" spans="1:13" ht="12.75" customHeight="1">
      <c r="A30" s="90" t="s">
        <v>86</v>
      </c>
      <c r="B30" s="91">
        <f>G22</f>
        <v>1</v>
      </c>
      <c r="E30" s="31"/>
      <c r="F30" s="92" t="s">
        <v>87</v>
      </c>
      <c r="G30" s="93">
        <f>(G27/(K7*K12))*1000</f>
        <v>53.05885721017244</v>
      </c>
      <c r="H30" s="5" t="s">
        <v>88</v>
      </c>
      <c r="I30" s="31"/>
      <c r="J30" s="94" t="s">
        <v>89</v>
      </c>
      <c r="K30" s="95">
        <f>'Bowen Mag '!$I$11</f>
        <v>13.633668330904927</v>
      </c>
      <c r="M30" s="31"/>
    </row>
    <row r="31" spans="1:19" ht="12.75" customHeight="1">
      <c r="A31" s="90" t="s">
        <v>90</v>
      </c>
      <c r="B31" s="91">
        <f>G19</f>
        <v>30</v>
      </c>
      <c r="C31" s="5" t="s">
        <v>15</v>
      </c>
      <c r="E31" s="31"/>
      <c r="F31" s="53" t="s">
        <v>91</v>
      </c>
      <c r="G31" s="60"/>
      <c r="I31" s="96"/>
      <c r="Q31" s="13"/>
      <c r="R31" s="97"/>
      <c r="S31" s="97"/>
    </row>
    <row r="32" spans="1:19" ht="12.75" customHeight="1">
      <c r="A32" s="81" t="s">
        <v>92</v>
      </c>
      <c r="B32" s="98">
        <f>K23</f>
        <v>8</v>
      </c>
      <c r="E32" s="31"/>
      <c r="F32" s="20" t="s">
        <v>93</v>
      </c>
      <c r="G32" s="22">
        <v>6563</v>
      </c>
      <c r="H32" s="5" t="s">
        <v>76</v>
      </c>
      <c r="L32" s="5"/>
      <c r="Q32" s="13"/>
      <c r="R32" s="97"/>
      <c r="S32" s="97"/>
    </row>
    <row r="33" spans="1:19" ht="12.75" customHeight="1">
      <c r="A33" s="81" t="s">
        <v>94</v>
      </c>
      <c r="B33" s="87">
        <f>K27</f>
        <v>163.956106166383</v>
      </c>
      <c r="F33" s="33" t="s">
        <v>95</v>
      </c>
      <c r="G33" s="99">
        <f>G32-K8*G27/K12/2</f>
        <v>6324.8081782120935</v>
      </c>
      <c r="H33" s="5" t="s">
        <v>76</v>
      </c>
      <c r="J33" s="53" t="s">
        <v>96</v>
      </c>
      <c r="Q33" s="13" t="s">
        <v>97</v>
      </c>
      <c r="R33" s="97">
        <f>(G25*G25*PI()/4)*(180-(DEGREES(ASIN((G24/2)/G25/2))))/360</f>
        <v>48.790850484306816</v>
      </c>
      <c r="S33" s="97">
        <f>(G26*G26*PI()/4)*(180-(DEGREES(ASIN((G23/2)/G26/2))))/360</f>
        <v>257.38160526785106</v>
      </c>
    </row>
    <row r="34" spans="1:19" ht="13.5" customHeight="1">
      <c r="A34" s="100" t="s">
        <v>98</v>
      </c>
      <c r="B34" s="101">
        <f>$K$28</f>
        <v>237.3881274699257</v>
      </c>
      <c r="C34" s="5"/>
      <c r="F34" s="33" t="s">
        <v>99</v>
      </c>
      <c r="G34" s="99">
        <f>G32+K8*G27/K12/2</f>
        <v>6801.1918217879065</v>
      </c>
      <c r="H34" s="5" t="s">
        <v>76</v>
      </c>
      <c r="J34" s="102" t="s">
        <v>100</v>
      </c>
      <c r="K34" s="103">
        <f>8.48E+34*POWER(10,-0.4*(K23+K25))/POWER(K24,4)/POWER(G32,4)/(EXP(144000000/K24/G32)-1)</f>
        <v>0.4624085919454996</v>
      </c>
      <c r="L34" s="31" t="s">
        <v>101</v>
      </c>
      <c r="Q34" s="13" t="s">
        <v>102</v>
      </c>
      <c r="R34" s="97" t="e">
        <f>0.5*(((G25-G24)/2)*2*SQRT((G25/2*G25/2)-((G25-G24)/2)*((G25-G24)/2)))</f>
        <v>#NUM!</v>
      </c>
      <c r="S34" s="97">
        <f>0.5*(((G26-G23)/2)*2*SQRT((G26/2*G23/2)-((G26-G23)/2)*((G26-G23)/2)))</f>
        <v>-22.281252002387717</v>
      </c>
    </row>
    <row r="35" spans="6:19" ht="12.75" customHeight="1">
      <c r="F35" s="51" t="s">
        <v>103</v>
      </c>
      <c r="G35" s="89">
        <f>G34-G33</f>
        <v>476.38364357581304</v>
      </c>
      <c r="H35" s="5" t="s">
        <v>76</v>
      </c>
      <c r="J35" s="104" t="s">
        <v>104</v>
      </c>
      <c r="K35" s="105">
        <f>8.48E+34*POWER(10,-0.4*(K25))/POWER(K24,4)/POWER(G32,4)/(EXP(144000000/K24/G32)-1)*POWER(10,-0.4*C17)</f>
        <v>0.00011615178679213492</v>
      </c>
      <c r="L35" s="31" t="s">
        <v>105</v>
      </c>
      <c r="M35" s="5"/>
      <c r="N35" s="5"/>
      <c r="O35" s="48"/>
      <c r="Q35" s="13" t="s">
        <v>106</v>
      </c>
      <c r="R35" s="97" t="e">
        <f>1-((G25*G25*PI()/4)-2*(R33-R34))/(G25*G25*PI()/4)</f>
        <v>#NUM!</v>
      </c>
      <c r="S35" s="97">
        <f>1-((G26*G26*PI()/4)-2*(S33-S34))/(G26*G26*PI()/4)</f>
        <v>0.9886162512593553</v>
      </c>
    </row>
    <row r="36" spans="1:14" ht="12.75" customHeight="1">
      <c r="A36" s="106" t="s">
        <v>107</v>
      </c>
      <c r="B36" s="106"/>
      <c r="F36" s="53" t="s">
        <v>108</v>
      </c>
      <c r="J36" s="104" t="s">
        <v>109</v>
      </c>
      <c r="K36" s="107">
        <f>((1-C11*C11)*C16*C12*G45*K9/100)*100</f>
        <v>15.274219928871355</v>
      </c>
      <c r="L36" s="31" t="s">
        <v>22</v>
      </c>
      <c r="M36" s="31"/>
      <c r="N36" s="5"/>
    </row>
    <row r="37" spans="1:17" ht="12.75" customHeight="1">
      <c r="A37" s="108"/>
      <c r="B37" s="109" t="s">
        <v>110</v>
      </c>
      <c r="C37" s="110">
        <f>DEGREES(ASIN(0.0000001*G22*G21*G32/2/COS(RADIANS(G18/2))))+G18/2</f>
        <v>62.24236927296346</v>
      </c>
      <c r="D37" s="31" t="s">
        <v>51</v>
      </c>
      <c r="E37" s="31"/>
      <c r="F37" s="20" t="s">
        <v>111</v>
      </c>
      <c r="G37" s="22">
        <v>1</v>
      </c>
      <c r="J37" s="104" t="s">
        <v>112</v>
      </c>
      <c r="K37" s="111">
        <f>0.25*PI()*(C7*C7)/100*K34*K36/100*G27*K18</f>
        <v>28163.524227399685</v>
      </c>
      <c r="L37" s="31" t="s">
        <v>26</v>
      </c>
      <c r="M37" s="31"/>
      <c r="N37" s="5"/>
      <c r="Q37" s="48"/>
    </row>
    <row r="38" spans="1:14" ht="12.75" customHeight="1">
      <c r="A38" s="112"/>
      <c r="B38" s="33" t="s">
        <v>113</v>
      </c>
      <c r="C38" s="34">
        <f>C37-G18</f>
        <v>17.242369272963458</v>
      </c>
      <c r="D38" s="31" t="s">
        <v>51</v>
      </c>
      <c r="F38" s="26" t="s">
        <v>114</v>
      </c>
      <c r="G38" s="47">
        <v>0.98</v>
      </c>
      <c r="J38" s="104" t="s">
        <v>115</v>
      </c>
      <c r="K38" s="111">
        <f>3.34*10^8*K35*K36*G27*K20*K7/1000*G19/1000*K18*G7/G12/C8/C8</f>
        <v>24249.131610575896</v>
      </c>
      <c r="L38" s="31" t="s">
        <v>26</v>
      </c>
      <c r="M38" s="31"/>
      <c r="N38" s="5"/>
    </row>
    <row r="39" spans="1:14" ht="12.75" customHeight="1">
      <c r="A39" s="112"/>
      <c r="B39" s="33" t="s">
        <v>116</v>
      </c>
      <c r="C39" s="34">
        <f>COS(RADIANS(C37))/COS(RADIANS(C38))</f>
        <v>0.4876475384521786</v>
      </c>
      <c r="D39" s="31"/>
      <c r="F39" s="26" t="s">
        <v>117</v>
      </c>
      <c r="G39" s="47">
        <v>0.96</v>
      </c>
      <c r="I39" s="5"/>
      <c r="J39" s="104" t="s">
        <v>118</v>
      </c>
      <c r="K39" s="111">
        <f>SQRT(K37+(K20*K11*K18)+(K20/K13*K17*K10*K10))</f>
        <v>171.774780982047</v>
      </c>
      <c r="L39" s="113" t="s">
        <v>26</v>
      </c>
      <c r="M39" s="31"/>
      <c r="N39" s="5"/>
    </row>
    <row r="40" spans="1:14" ht="12.75" customHeight="1">
      <c r="A40" s="112"/>
      <c r="B40" s="33" t="s">
        <v>119</v>
      </c>
      <c r="C40" s="34">
        <f>0.0001*G12*G32/(G7/C39/C8)</f>
        <v>2.5603446358893187</v>
      </c>
      <c r="D40" s="31" t="s">
        <v>15</v>
      </c>
      <c r="F40" s="26" t="s">
        <v>120</v>
      </c>
      <c r="G40" s="47">
        <v>0.96</v>
      </c>
      <c r="J40" s="104" t="s">
        <v>121</v>
      </c>
      <c r="K40" s="114">
        <f>SQRT(G29/G27)*K27</f>
        <v>237.3881274699257</v>
      </c>
      <c r="L40" s="113" t="s">
        <v>26</v>
      </c>
      <c r="M40" s="31"/>
      <c r="N40" s="5"/>
    </row>
    <row r="41" spans="1:14" ht="12.75" customHeight="1">
      <c r="A41" s="54"/>
      <c r="B41" s="92" t="s">
        <v>122</v>
      </c>
      <c r="C41" s="93">
        <f>IF((G19&lt;C18),SQRT((POWER(C39*G12/G7,2)*(POWER(G19,2))+POWER(G10,2))+POWER(G16,2)+POWER(C40,2)+POWER(K12*K7,2)),SQRT((POWER(C39*G12/G7,2)*(POWER(C18,2))+POWER(G10,2))+POWER(G16,2)+POWER(C40,2)+POWER(K12*K7,2)))</f>
        <v>13.52142653503478</v>
      </c>
      <c r="D41" s="31" t="s">
        <v>15</v>
      </c>
      <c r="E41" s="60"/>
      <c r="F41" s="29" t="s">
        <v>123</v>
      </c>
      <c r="G41" s="25">
        <f>VLOOKUP($U$6,'Data Tables'!$P$41:$R$59,3,FALSE)/100</f>
        <v>0.6</v>
      </c>
      <c r="H41" s="115"/>
      <c r="J41" s="116" t="s">
        <v>124</v>
      </c>
      <c r="K41" s="117">
        <f>SQRT(K37+K38)</f>
        <v>228.93810481869457</v>
      </c>
      <c r="L41" s="113" t="s">
        <v>26</v>
      </c>
      <c r="M41" s="31"/>
      <c r="N41" s="5"/>
    </row>
    <row r="42" spans="6:14" ht="12.75" customHeight="1">
      <c r="F42" s="33" t="s">
        <v>125</v>
      </c>
      <c r="G42" s="25">
        <f>VLOOKUP(1/((C18)/G19),Q6:R28,2,TRUE)</f>
        <v>0.76</v>
      </c>
      <c r="J42" s="118" t="s">
        <v>126</v>
      </c>
      <c r="K42" s="119">
        <f>K10*SQRT(K17*K20)</f>
        <v>36.30884769769288</v>
      </c>
      <c r="L42" s="113" t="s">
        <v>26</v>
      </c>
      <c r="M42" s="5"/>
      <c r="N42" s="5"/>
    </row>
    <row r="43" spans="6:7" ht="12.75" customHeight="1">
      <c r="F43" s="29" t="s">
        <v>127</v>
      </c>
      <c r="G43" s="34">
        <f>IF((G23&gt;G26),1,$S$35)</f>
        <v>1</v>
      </c>
    </row>
    <row r="44" spans="6:10" ht="12.75" customHeight="1">
      <c r="F44" s="29" t="s">
        <v>128</v>
      </c>
      <c r="G44" s="120">
        <f>IF((G25&lt;G24),1,$S$35)</f>
        <v>1</v>
      </c>
      <c r="J44" s="35" t="s">
        <v>129</v>
      </c>
    </row>
    <row r="45" spans="6:10" ht="12.75" customHeight="1">
      <c r="F45" s="55" t="s">
        <v>130</v>
      </c>
      <c r="G45" s="121">
        <f>G37*G38*G39*G40*G41*G42*G43*G44</f>
        <v>0.411844608</v>
      </c>
      <c r="J45" t="s">
        <v>131</v>
      </c>
    </row>
    <row r="46" ht="12.75" customHeight="1">
      <c r="J46" t="s">
        <v>132</v>
      </c>
    </row>
    <row r="47" spans="5:6" ht="12.75" customHeight="1">
      <c r="E47" s="80"/>
      <c r="F47" s="122" t="s">
        <v>133</v>
      </c>
    </row>
    <row r="48" spans="5:6" ht="12.75" customHeight="1">
      <c r="E48" s="80"/>
      <c r="F48" s="123" t="s">
        <v>134</v>
      </c>
    </row>
    <row r="49" spans="1:8" ht="12.75" customHeight="1">
      <c r="A49" s="124" t="s">
        <v>135</v>
      </c>
      <c r="H49" s="80"/>
    </row>
    <row r="50" spans="1:2" ht="12.75" customHeight="1">
      <c r="A50" t="s">
        <v>136</v>
      </c>
      <c r="B50" t="s">
        <v>137</v>
      </c>
    </row>
    <row r="51" spans="1:8" ht="12.75" customHeight="1">
      <c r="A51" s="80" t="s">
        <v>138</v>
      </c>
      <c r="B51" s="123" t="s">
        <v>139</v>
      </c>
      <c r="C51" s="80"/>
      <c r="D51" s="80"/>
      <c r="E51" s="80"/>
      <c r="F51" s="80"/>
      <c r="G51" s="80"/>
      <c r="H51" s="80"/>
    </row>
    <row r="52" spans="1:8" ht="12.75" customHeight="1">
      <c r="A52" s="123" t="s">
        <v>140</v>
      </c>
      <c r="B52" s="123" t="s">
        <v>141</v>
      </c>
      <c r="C52" s="80"/>
      <c r="D52" s="80"/>
      <c r="E52" s="80"/>
      <c r="F52" s="80"/>
      <c r="H52" s="80"/>
    </row>
    <row r="53" spans="1:8" ht="12.75" customHeight="1">
      <c r="A53" s="123" t="s">
        <v>142</v>
      </c>
      <c r="B53" s="123" t="s">
        <v>143</v>
      </c>
      <c r="C53" s="80"/>
      <c r="D53" s="80"/>
      <c r="E53" s="80"/>
      <c r="F53" s="80"/>
      <c r="H53" s="80"/>
    </row>
    <row r="54" spans="1:8" ht="12.75" customHeight="1">
      <c r="A54" s="80" t="s">
        <v>144</v>
      </c>
      <c r="B54" s="80" t="s">
        <v>145</v>
      </c>
      <c r="C54" s="80"/>
      <c r="D54" s="80"/>
      <c r="E54" s="80"/>
      <c r="F54" s="80"/>
      <c r="G54" s="80"/>
      <c r="H54" s="80"/>
    </row>
    <row r="55" spans="1:8" ht="12.75" customHeight="1">
      <c r="A55" s="80" t="s">
        <v>146</v>
      </c>
      <c r="B55" s="80" t="s">
        <v>147</v>
      </c>
      <c r="C55" s="80"/>
      <c r="D55" s="80"/>
      <c r="E55" s="80"/>
      <c r="F55" s="80"/>
      <c r="G55" s="80"/>
      <c r="H55" s="80"/>
    </row>
    <row r="56" spans="1:8" ht="12.75" customHeight="1">
      <c r="A56" s="80" t="s">
        <v>148</v>
      </c>
      <c r="B56" s="80" t="s">
        <v>149</v>
      </c>
      <c r="C56" s="80"/>
      <c r="D56" s="80"/>
      <c r="E56" s="80"/>
      <c r="F56" s="80"/>
      <c r="G56" s="80"/>
      <c r="H56" s="80"/>
    </row>
    <row r="57" spans="1:8" ht="12.75" customHeight="1">
      <c r="A57" s="80" t="s">
        <v>150</v>
      </c>
      <c r="B57" s="80" t="s">
        <v>151</v>
      </c>
      <c r="C57" s="80"/>
      <c r="D57" s="80"/>
      <c r="E57" s="80"/>
      <c r="F57" s="80"/>
      <c r="G57" s="80"/>
      <c r="H57" s="80"/>
    </row>
    <row r="58" spans="1:7" ht="12.75" customHeight="1">
      <c r="A58" s="80" t="s">
        <v>152</v>
      </c>
      <c r="B58" s="80" t="s">
        <v>153</v>
      </c>
      <c r="C58" s="80"/>
      <c r="D58" s="80"/>
      <c r="E58" s="80"/>
      <c r="F58" s="80"/>
      <c r="G58" s="80"/>
    </row>
    <row r="59" spans="1:7" ht="12.75" customHeight="1">
      <c r="A59" s="123" t="s">
        <v>154</v>
      </c>
      <c r="B59" s="123" t="s">
        <v>155</v>
      </c>
      <c r="C59" s="80"/>
      <c r="D59" s="80"/>
      <c r="E59" s="80"/>
      <c r="F59" s="80"/>
      <c r="G59" s="80"/>
    </row>
    <row r="60" spans="1:7" ht="12.75" customHeight="1">
      <c r="A60" s="80"/>
      <c r="B60" s="80" t="s">
        <v>156</v>
      </c>
      <c r="C60" s="80"/>
      <c r="D60" s="80"/>
      <c r="E60" s="80"/>
      <c r="F60" s="80"/>
      <c r="G60" s="80"/>
    </row>
    <row r="61" spans="1:7" ht="12.75" customHeight="1">
      <c r="A61" s="80"/>
      <c r="B61" s="80" t="s">
        <v>157</v>
      </c>
      <c r="C61" s="80"/>
      <c r="D61" s="80"/>
      <c r="F61" s="80"/>
      <c r="G61" s="80"/>
    </row>
  </sheetData>
  <sheetProtection selectLockedCells="1" selectUnlockedCells="1"/>
  <dataValidations count="1">
    <dataValidation type="list" operator="equal" showErrorMessage="1" sqref="K6">
      <formula1>camera</formula1>
    </dataValidation>
  </dataValidations>
  <hyperlinks>
    <hyperlink ref="A22" r:id="rId1" display="www.astrosurf.org/buil/us/stage/calcul/design_us.ht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K1">
      <selection activeCell="S14" sqref="S14"/>
    </sheetView>
  </sheetViews>
  <sheetFormatPr defaultColWidth="9.00390625" defaultRowHeight="12.75" customHeight="1"/>
  <cols>
    <col min="1" max="2" width="12.28125" style="0" customWidth="1"/>
    <col min="3" max="3" width="11.00390625" style="0" customWidth="1"/>
    <col min="4" max="4" width="3.57421875" style="0" customWidth="1"/>
    <col min="5" max="5" width="11.00390625" style="0" customWidth="1"/>
    <col min="6" max="6" width="10.57421875" style="0" customWidth="1"/>
    <col min="7" max="7" width="9.00390625" style="0" customWidth="1"/>
    <col min="8" max="8" width="12.140625" style="0" customWidth="1"/>
    <col min="9" max="9" width="6.57421875" style="0" customWidth="1"/>
    <col min="10" max="10" width="14.28125" style="0" customWidth="1"/>
    <col min="11" max="12" width="9.00390625" style="0" customWidth="1"/>
    <col min="13" max="13" width="6.421875" style="0" customWidth="1"/>
    <col min="14" max="14" width="11.421875" style="0" customWidth="1"/>
    <col min="15" max="16" width="9.00390625" style="0" customWidth="1"/>
    <col min="17" max="17" width="8.421875" style="0" customWidth="1"/>
  </cols>
  <sheetData>
    <row r="1" spans="1:21" ht="15" customHeight="1">
      <c r="A1" s="125" t="s">
        <v>158</v>
      </c>
      <c r="B1" s="125"/>
      <c r="C1" s="125"/>
      <c r="D1" s="126"/>
      <c r="E1" s="125" t="s">
        <v>159</v>
      </c>
      <c r="F1" s="125"/>
      <c r="G1" s="125"/>
      <c r="H1" s="50"/>
      <c r="J1" s="125" t="s">
        <v>160</v>
      </c>
      <c r="K1" s="125"/>
      <c r="L1" s="125"/>
      <c r="N1" s="125" t="s">
        <v>161</v>
      </c>
      <c r="O1" s="127"/>
      <c r="P1" s="127"/>
      <c r="Q1" s="128"/>
      <c r="R1" s="128"/>
      <c r="S1" s="128"/>
      <c r="T1" s="128"/>
      <c r="U1" s="50"/>
    </row>
    <row r="2" spans="5:18" ht="13.5" customHeight="1">
      <c r="E2" s="129" t="s">
        <v>162</v>
      </c>
      <c r="F2" s="129" t="s">
        <v>163</v>
      </c>
      <c r="G2" s="129" t="s">
        <v>164</v>
      </c>
      <c r="H2" s="129" t="s">
        <v>165</v>
      </c>
      <c r="K2" s="64" t="s">
        <v>166</v>
      </c>
      <c r="L2" s="130" t="s">
        <v>167</v>
      </c>
      <c r="N2" s="131" t="s">
        <v>28</v>
      </c>
      <c r="O2" s="132" t="s">
        <v>168</v>
      </c>
      <c r="P2" s="132" t="s">
        <v>169</v>
      </c>
      <c r="Q2" s="133" t="s">
        <v>170</v>
      </c>
      <c r="R2" s="133" t="s">
        <v>171</v>
      </c>
    </row>
    <row r="3" spans="1:20" ht="12.75" customHeight="1">
      <c r="A3" s="134" t="s">
        <v>172</v>
      </c>
      <c r="B3" s="134" t="s">
        <v>173</v>
      </c>
      <c r="C3" s="35" t="s">
        <v>174</v>
      </c>
      <c r="E3" s="135"/>
      <c r="F3" s="135" t="s">
        <v>175</v>
      </c>
      <c r="G3" s="135"/>
      <c r="H3" s="135"/>
      <c r="J3" s="136" t="s">
        <v>176</v>
      </c>
      <c r="K3" s="223" t="s">
        <v>177</v>
      </c>
      <c r="L3" s="223"/>
      <c r="N3" s="133" t="s">
        <v>178</v>
      </c>
      <c r="O3" s="133" t="s">
        <v>58</v>
      </c>
      <c r="P3" s="133" t="s">
        <v>179</v>
      </c>
      <c r="Q3" s="35" t="s">
        <v>180</v>
      </c>
      <c r="R3" s="137" t="s">
        <v>181</v>
      </c>
      <c r="S3" s="122" t="s">
        <v>182</v>
      </c>
      <c r="T3" s="68" t="s">
        <v>183</v>
      </c>
    </row>
    <row r="4" spans="1:20" ht="12.75" customHeight="1">
      <c r="A4" s="138">
        <v>0</v>
      </c>
      <c r="B4" s="139">
        <v>0.83</v>
      </c>
      <c r="E4" s="140" t="s">
        <v>184</v>
      </c>
      <c r="F4" s="141">
        <v>-4.3</v>
      </c>
      <c r="G4" s="141">
        <v>-4.2</v>
      </c>
      <c r="H4" s="142">
        <v>-4</v>
      </c>
      <c r="J4" s="138">
        <v>3500</v>
      </c>
      <c r="K4" s="143" t="s">
        <v>185</v>
      </c>
      <c r="L4" s="139" t="s">
        <v>185</v>
      </c>
      <c r="N4" s="144" t="s">
        <v>186</v>
      </c>
      <c r="O4" s="145">
        <v>755</v>
      </c>
      <c r="P4" s="146">
        <v>8.6</v>
      </c>
      <c r="Q4" s="147">
        <v>12</v>
      </c>
      <c r="R4" s="148">
        <v>0.1</v>
      </c>
      <c r="T4" s="149" t="s">
        <v>187</v>
      </c>
    </row>
    <row r="5" spans="1:20" ht="12.75" customHeight="1">
      <c r="A5" s="150">
        <v>10</v>
      </c>
      <c r="B5" s="151">
        <v>0.83</v>
      </c>
      <c r="E5" s="150" t="s">
        <v>188</v>
      </c>
      <c r="F5" s="152">
        <v>-3.9</v>
      </c>
      <c r="G5" s="152">
        <v>-3.8</v>
      </c>
      <c r="H5" s="153">
        <v>-3.7</v>
      </c>
      <c r="J5" s="150">
        <v>3750</v>
      </c>
      <c r="K5" s="154">
        <v>0.30000000000000004</v>
      </c>
      <c r="L5" s="153">
        <f aca="true" t="shared" si="0" ref="L5:L22">K5*$K$26</f>
        <v>18.000000000000004</v>
      </c>
      <c r="N5" s="155" t="s">
        <v>189</v>
      </c>
      <c r="O5" s="156">
        <v>659</v>
      </c>
      <c r="P5" s="157">
        <v>7.4</v>
      </c>
      <c r="Q5" s="5">
        <v>7</v>
      </c>
      <c r="R5" s="158">
        <v>0.1</v>
      </c>
      <c r="S5" t="s">
        <v>190</v>
      </c>
      <c r="T5" t="s">
        <v>191</v>
      </c>
    </row>
    <row r="6" spans="1:20" ht="12.75" customHeight="1">
      <c r="A6" s="150">
        <v>20</v>
      </c>
      <c r="B6" s="151">
        <v>0.82</v>
      </c>
      <c r="E6" s="150" t="s">
        <v>192</v>
      </c>
      <c r="F6" s="152">
        <v>-3.6</v>
      </c>
      <c r="G6" s="152">
        <v>-3.4</v>
      </c>
      <c r="H6" s="153">
        <v>-3.3</v>
      </c>
      <c r="J6" s="150">
        <v>4000</v>
      </c>
      <c r="K6" s="154">
        <v>0.49</v>
      </c>
      <c r="L6" s="153">
        <f t="shared" si="0"/>
        <v>29.4</v>
      </c>
      <c r="N6" s="155" t="s">
        <v>193</v>
      </c>
      <c r="O6" s="156">
        <v>782</v>
      </c>
      <c r="P6" s="157">
        <v>8.3</v>
      </c>
      <c r="Q6" s="5">
        <v>7</v>
      </c>
      <c r="R6" s="158">
        <v>0.1</v>
      </c>
      <c r="S6" t="s">
        <v>190</v>
      </c>
      <c r="T6" t="s">
        <v>194</v>
      </c>
    </row>
    <row r="7" spans="1:20" ht="12.75" customHeight="1">
      <c r="A7" s="150">
        <v>30</v>
      </c>
      <c r="B7" s="151">
        <v>0.81</v>
      </c>
      <c r="E7" s="150" t="s">
        <v>195</v>
      </c>
      <c r="F7" s="152">
        <v>-3</v>
      </c>
      <c r="G7" s="152">
        <v>-2.9</v>
      </c>
      <c r="H7" s="153">
        <v>-2.7</v>
      </c>
      <c r="J7" s="150">
        <v>4250</v>
      </c>
      <c r="K7" s="154">
        <v>0.7</v>
      </c>
      <c r="L7" s="153">
        <f t="shared" si="0"/>
        <v>42</v>
      </c>
      <c r="N7" s="155" t="s">
        <v>196</v>
      </c>
      <c r="O7" s="156">
        <v>650</v>
      </c>
      <c r="P7" s="157">
        <v>8.6</v>
      </c>
      <c r="Q7" s="5">
        <v>7</v>
      </c>
      <c r="R7" s="158">
        <v>0.1</v>
      </c>
      <c r="S7" t="s">
        <v>190</v>
      </c>
      <c r="T7" t="s">
        <v>197</v>
      </c>
    </row>
    <row r="8" spans="1:20" ht="12.75" customHeight="1">
      <c r="A8" s="150">
        <v>40</v>
      </c>
      <c r="B8" s="151">
        <v>0.78</v>
      </c>
      <c r="E8" s="150" t="s">
        <v>198</v>
      </c>
      <c r="F8" s="152">
        <v>-2.5</v>
      </c>
      <c r="G8" s="152">
        <v>-2</v>
      </c>
      <c r="H8" s="153">
        <v>-1.7000000000000002</v>
      </c>
      <c r="J8" s="150">
        <v>4500</v>
      </c>
      <c r="K8" s="154">
        <v>0.82</v>
      </c>
      <c r="L8" s="153">
        <f t="shared" si="0"/>
        <v>49.199999999999996</v>
      </c>
      <c r="N8" s="159" t="s">
        <v>10</v>
      </c>
      <c r="O8" s="157">
        <v>1392</v>
      </c>
      <c r="P8" s="157">
        <v>6.45</v>
      </c>
      <c r="Q8" s="5">
        <v>4</v>
      </c>
      <c r="R8" s="158">
        <v>0.0005</v>
      </c>
      <c r="T8" t="s">
        <v>199</v>
      </c>
    </row>
    <row r="9" spans="1:18" ht="12.75" customHeight="1">
      <c r="A9" s="150">
        <v>50</v>
      </c>
      <c r="B9" s="151">
        <v>0.75</v>
      </c>
      <c r="E9" s="160" t="s">
        <v>200</v>
      </c>
      <c r="F9" s="161">
        <v>-2</v>
      </c>
      <c r="G9" s="161">
        <v>-1.6</v>
      </c>
      <c r="H9" s="162">
        <v>-1.35</v>
      </c>
      <c r="J9" s="150">
        <v>4750</v>
      </c>
      <c r="K9" s="154">
        <v>0.92</v>
      </c>
      <c r="L9" s="153">
        <f t="shared" si="0"/>
        <v>55.2</v>
      </c>
      <c r="N9" s="159" t="s">
        <v>201</v>
      </c>
      <c r="O9" s="157">
        <v>752</v>
      </c>
      <c r="P9" s="157">
        <v>4.75</v>
      </c>
      <c r="Q9" s="5">
        <v>10</v>
      </c>
      <c r="R9" s="158">
        <v>0.1</v>
      </c>
    </row>
    <row r="10" spans="1:18" ht="12.75" customHeight="1">
      <c r="A10" s="150">
        <v>60</v>
      </c>
      <c r="B10" s="151">
        <v>0.69</v>
      </c>
      <c r="E10" s="160" t="s">
        <v>202</v>
      </c>
      <c r="F10" s="161">
        <v>-1.8</v>
      </c>
      <c r="G10" s="161">
        <v>-1.5</v>
      </c>
      <c r="H10" s="162">
        <v>-1.15</v>
      </c>
      <c r="J10" s="150">
        <v>5000</v>
      </c>
      <c r="K10" s="154">
        <v>0.99</v>
      </c>
      <c r="L10" s="153">
        <f t="shared" si="0"/>
        <v>59.4</v>
      </c>
      <c r="N10" s="155" t="s">
        <v>203</v>
      </c>
      <c r="O10" s="5">
        <v>765</v>
      </c>
      <c r="P10" s="5">
        <v>9</v>
      </c>
      <c r="Q10" s="5">
        <v>15</v>
      </c>
      <c r="R10" s="158">
        <v>1</v>
      </c>
    </row>
    <row r="11" spans="1:18" ht="12.75" customHeight="1">
      <c r="A11" s="150">
        <v>70</v>
      </c>
      <c r="B11" s="151">
        <v>0.58</v>
      </c>
      <c r="E11" s="160" t="s">
        <v>204</v>
      </c>
      <c r="F11" s="161">
        <v>-1.44</v>
      </c>
      <c r="G11" s="161">
        <v>-1.3</v>
      </c>
      <c r="H11" s="162">
        <v>-0.82</v>
      </c>
      <c r="J11" s="150">
        <v>5250</v>
      </c>
      <c r="K11" s="154">
        <v>0.99</v>
      </c>
      <c r="L11" s="153">
        <f t="shared" si="0"/>
        <v>59.4</v>
      </c>
      <c r="N11" s="163" t="s">
        <v>205</v>
      </c>
      <c r="O11" s="5">
        <v>1530</v>
      </c>
      <c r="P11" s="5">
        <v>9</v>
      </c>
      <c r="Q11" s="5">
        <v>15</v>
      </c>
      <c r="R11" s="158">
        <v>1</v>
      </c>
    </row>
    <row r="12" spans="1:18" ht="12.75" customHeight="1">
      <c r="A12" s="150">
        <v>80</v>
      </c>
      <c r="B12" s="151">
        <v>0.34</v>
      </c>
      <c r="E12" s="160" t="s">
        <v>206</v>
      </c>
      <c r="F12" s="161">
        <v>-0.94</v>
      </c>
      <c r="G12" s="161">
        <v>-1.07</v>
      </c>
      <c r="H12" s="162">
        <v>-0.64</v>
      </c>
      <c r="J12" s="150">
        <v>5500</v>
      </c>
      <c r="K12" s="154">
        <v>0.99</v>
      </c>
      <c r="L12" s="153">
        <f t="shared" si="0"/>
        <v>59.4</v>
      </c>
      <c r="N12" s="159" t="s">
        <v>207</v>
      </c>
      <c r="O12" s="5">
        <v>512</v>
      </c>
      <c r="P12" s="157">
        <v>20</v>
      </c>
      <c r="Q12" s="5">
        <v>13</v>
      </c>
      <c r="R12" s="158">
        <v>8</v>
      </c>
    </row>
    <row r="13" spans="1:18" ht="12.75" customHeight="1">
      <c r="A13" s="150">
        <v>85</v>
      </c>
      <c r="B13" s="151">
        <v>0.12</v>
      </c>
      <c r="E13" s="160" t="s">
        <v>208</v>
      </c>
      <c r="F13" s="161">
        <v>-0.15</v>
      </c>
      <c r="G13" s="161">
        <v>-0.24</v>
      </c>
      <c r="H13" s="162">
        <v>-0.30000000000000004</v>
      </c>
      <c r="J13" s="150">
        <v>5750</v>
      </c>
      <c r="K13" s="154">
        <v>0.97</v>
      </c>
      <c r="L13" s="153">
        <f t="shared" si="0"/>
        <v>58.199999999999996</v>
      </c>
      <c r="N13" s="155" t="s">
        <v>209</v>
      </c>
      <c r="O13" s="5">
        <v>2184</v>
      </c>
      <c r="P13" s="5">
        <v>6.8</v>
      </c>
      <c r="Q13" s="5">
        <v>11</v>
      </c>
      <c r="R13" s="158">
        <v>0.9</v>
      </c>
    </row>
    <row r="14" spans="1:18" ht="13.5" customHeight="1">
      <c r="A14" s="164">
        <v>90</v>
      </c>
      <c r="B14" s="165">
        <v>0</v>
      </c>
      <c r="E14" s="160" t="s">
        <v>210</v>
      </c>
      <c r="F14" s="161">
        <v>-0.02</v>
      </c>
      <c r="G14" s="161">
        <v>-0.02</v>
      </c>
      <c r="H14" s="162">
        <v>0</v>
      </c>
      <c r="J14" s="150">
        <v>6000</v>
      </c>
      <c r="K14" s="154">
        <v>0.95</v>
      </c>
      <c r="L14" s="153">
        <f t="shared" si="0"/>
        <v>57</v>
      </c>
      <c r="N14" s="155" t="s">
        <v>211</v>
      </c>
      <c r="O14" s="31">
        <v>765</v>
      </c>
      <c r="P14" s="31">
        <v>9</v>
      </c>
      <c r="Q14" s="5">
        <v>13.8</v>
      </c>
      <c r="R14" s="158">
        <v>0.025</v>
      </c>
    </row>
    <row r="15" spans="5:18" ht="12.75" customHeight="1">
      <c r="E15" s="160" t="s">
        <v>212</v>
      </c>
      <c r="F15" s="161">
        <v>-0.01</v>
      </c>
      <c r="G15" s="161">
        <v>0.01</v>
      </c>
      <c r="H15" s="162">
        <v>0.14</v>
      </c>
      <c r="J15" s="150">
        <v>6250</v>
      </c>
      <c r="K15" s="154">
        <v>0.92</v>
      </c>
      <c r="L15" s="153">
        <f t="shared" si="0"/>
        <v>55.2</v>
      </c>
      <c r="N15" s="155" t="s">
        <v>213</v>
      </c>
      <c r="O15" s="31">
        <v>3326</v>
      </c>
      <c r="P15" s="31">
        <v>5.4</v>
      </c>
      <c r="Q15" s="5">
        <v>9.3</v>
      </c>
      <c r="R15" s="158">
        <v>0.035</v>
      </c>
    </row>
    <row r="16" spans="1:18" ht="12.75" customHeight="1">
      <c r="A16" t="s">
        <v>214</v>
      </c>
      <c r="E16" s="166" t="s">
        <v>215</v>
      </c>
      <c r="F16" s="152">
        <v>-0.03</v>
      </c>
      <c r="G16" s="152">
        <v>-0.01</v>
      </c>
      <c r="H16" s="153">
        <v>0.13</v>
      </c>
      <c r="J16" s="150">
        <v>6500</v>
      </c>
      <c r="K16" s="154">
        <v>0.88</v>
      </c>
      <c r="L16" s="153">
        <f t="shared" si="0"/>
        <v>52.8</v>
      </c>
      <c r="N16" s="155" t="s">
        <v>216</v>
      </c>
      <c r="O16" s="31">
        <v>4000</v>
      </c>
      <c r="P16" s="31">
        <v>9</v>
      </c>
      <c r="Q16" s="5">
        <v>11</v>
      </c>
      <c r="R16" s="158">
        <v>0.5</v>
      </c>
    </row>
    <row r="17" spans="5:18" ht="12.75" customHeight="1">
      <c r="E17" s="160" t="s">
        <v>217</v>
      </c>
      <c r="F17" s="161">
        <v>-0.1</v>
      </c>
      <c r="G17" s="161">
        <v>-0.13</v>
      </c>
      <c r="H17" s="162">
        <v>-0.1</v>
      </c>
      <c r="J17" s="150">
        <v>6750</v>
      </c>
      <c r="K17" s="154">
        <v>0.79</v>
      </c>
      <c r="L17" s="153">
        <f t="shared" si="0"/>
        <v>47.400000000000006</v>
      </c>
      <c r="N17" s="167" t="s">
        <v>218</v>
      </c>
      <c r="O17" s="5"/>
      <c r="P17" s="5"/>
      <c r="Q17" s="5"/>
      <c r="R17" s="158"/>
    </row>
    <row r="18" spans="1:18" ht="15" customHeight="1">
      <c r="A18" s="125" t="s">
        <v>219</v>
      </c>
      <c r="B18" s="125"/>
      <c r="E18" s="160" t="s">
        <v>220</v>
      </c>
      <c r="F18" s="161">
        <v>-0.14</v>
      </c>
      <c r="G18" s="161">
        <v>-0.34</v>
      </c>
      <c r="H18" s="162">
        <v>-0.2</v>
      </c>
      <c r="J18" s="150">
        <v>7000</v>
      </c>
      <c r="K18" s="154">
        <v>0.69</v>
      </c>
      <c r="L18" s="153">
        <f t="shared" si="0"/>
        <v>41.4</v>
      </c>
      <c r="N18" s="155" t="s">
        <v>221</v>
      </c>
      <c r="O18" s="5">
        <v>640</v>
      </c>
      <c r="P18" s="31">
        <v>5.6</v>
      </c>
      <c r="Q18" s="5">
        <v>0</v>
      </c>
      <c r="R18" s="158">
        <v>0</v>
      </c>
    </row>
    <row r="19" spans="1:18" ht="12" customHeight="1">
      <c r="A19" s="134" t="s">
        <v>162</v>
      </c>
      <c r="B19" s="134" t="s">
        <v>222</v>
      </c>
      <c r="E19" s="160" t="s">
        <v>223</v>
      </c>
      <c r="F19" s="161">
        <v>-0.24</v>
      </c>
      <c r="G19" s="161">
        <v>-0.42</v>
      </c>
      <c r="H19" s="162">
        <v>-0.38</v>
      </c>
      <c r="J19" s="150">
        <v>7250</v>
      </c>
      <c r="K19" s="154">
        <v>0.66</v>
      </c>
      <c r="L19" s="153">
        <f t="shared" si="0"/>
        <v>39.6</v>
      </c>
      <c r="N19" s="155" t="s">
        <v>224</v>
      </c>
      <c r="O19" s="5">
        <v>1280</v>
      </c>
      <c r="P19" s="31">
        <v>4.65</v>
      </c>
      <c r="Q19" s="5">
        <v>0</v>
      </c>
      <c r="R19" s="158">
        <v>0</v>
      </c>
    </row>
    <row r="20" spans="1:18" ht="12.75" customHeight="1">
      <c r="A20" s="138" t="s">
        <v>225</v>
      </c>
      <c r="B20" s="139" t="s">
        <v>226</v>
      </c>
      <c r="E20" s="160" t="s">
        <v>227</v>
      </c>
      <c r="F20" s="161">
        <v>-0.66</v>
      </c>
      <c r="G20" s="161">
        <v>-1.19</v>
      </c>
      <c r="H20" s="162">
        <v>-1</v>
      </c>
      <c r="J20" s="150">
        <v>7500</v>
      </c>
      <c r="K20" s="154">
        <v>0.56</v>
      </c>
      <c r="L20" s="153">
        <f t="shared" si="0"/>
        <v>33.6</v>
      </c>
      <c r="N20" s="155" t="s">
        <v>228</v>
      </c>
      <c r="O20" s="31">
        <v>1600</v>
      </c>
      <c r="P20" s="31">
        <v>4.4</v>
      </c>
      <c r="Q20" s="5">
        <v>0</v>
      </c>
      <c r="R20" s="158">
        <v>0</v>
      </c>
    </row>
    <row r="21" spans="1:19" ht="12.75" customHeight="1">
      <c r="A21" s="168" t="s">
        <v>188</v>
      </c>
      <c r="B21" s="169" t="s">
        <v>229</v>
      </c>
      <c r="E21" s="160" t="s">
        <v>230</v>
      </c>
      <c r="F21" s="161">
        <v>-1.21</v>
      </c>
      <c r="G21" s="161">
        <v>-1.28</v>
      </c>
      <c r="H21" s="162">
        <v>-1.3</v>
      </c>
      <c r="J21" s="150">
        <v>7750</v>
      </c>
      <c r="K21" s="154">
        <v>0.46</v>
      </c>
      <c r="L21" s="153">
        <f t="shared" si="0"/>
        <v>27.6</v>
      </c>
      <c r="N21" s="155" t="s">
        <v>231</v>
      </c>
      <c r="O21" s="5">
        <v>1280</v>
      </c>
      <c r="P21" s="31">
        <v>5.2</v>
      </c>
      <c r="Q21" s="5">
        <v>7</v>
      </c>
      <c r="R21" s="158">
        <v>0.1</v>
      </c>
      <c r="S21" t="s">
        <v>190</v>
      </c>
    </row>
    <row r="22" spans="1:18" ht="13.5" customHeight="1">
      <c r="A22" s="150" t="s">
        <v>195</v>
      </c>
      <c r="B22" s="170">
        <v>30000</v>
      </c>
      <c r="E22" s="160" t="s">
        <v>232</v>
      </c>
      <c r="F22" s="161">
        <v>-1.75</v>
      </c>
      <c r="G22" s="161">
        <v>-1.52</v>
      </c>
      <c r="H22" s="162">
        <v>-1.5</v>
      </c>
      <c r="J22" s="164">
        <v>8000</v>
      </c>
      <c r="K22" s="171">
        <v>0.4</v>
      </c>
      <c r="L22" s="172">
        <f t="shared" si="0"/>
        <v>24</v>
      </c>
      <c r="N22" s="155" t="s">
        <v>233</v>
      </c>
      <c r="O22" s="156">
        <v>3468</v>
      </c>
      <c r="P22" s="157">
        <v>6.4</v>
      </c>
      <c r="Q22" s="5">
        <v>0</v>
      </c>
      <c r="R22" s="158">
        <v>0</v>
      </c>
    </row>
    <row r="23" spans="1:18" ht="12.75" customHeight="1">
      <c r="A23" s="150" t="s">
        <v>204</v>
      </c>
      <c r="B23" s="170">
        <v>15000</v>
      </c>
      <c r="E23" s="160" t="s">
        <v>234</v>
      </c>
      <c r="F23" s="161">
        <v>-2.2800000000000002</v>
      </c>
      <c r="G23" s="161"/>
      <c r="H23" s="162">
        <v>-2.5</v>
      </c>
      <c r="N23" s="155" t="s">
        <v>235</v>
      </c>
      <c r="O23" s="5">
        <v>4272</v>
      </c>
      <c r="P23" s="31">
        <v>5.2</v>
      </c>
      <c r="Q23" s="5">
        <v>0</v>
      </c>
      <c r="R23" s="158">
        <v>0</v>
      </c>
    </row>
    <row r="24" spans="1:18" ht="12.75" customHeight="1">
      <c r="A24" s="150" t="s">
        <v>208</v>
      </c>
      <c r="B24" s="170">
        <v>10000</v>
      </c>
      <c r="E24" s="160" t="s">
        <v>236</v>
      </c>
      <c r="F24" s="161">
        <v>-2.59</v>
      </c>
      <c r="G24" s="161"/>
      <c r="H24" s="162">
        <v>-3.3</v>
      </c>
      <c r="J24" t="s">
        <v>237</v>
      </c>
      <c r="N24" s="159" t="s">
        <v>238</v>
      </c>
      <c r="O24" s="31">
        <v>3888</v>
      </c>
      <c r="P24" s="31">
        <v>5.7</v>
      </c>
      <c r="Q24" s="5">
        <v>0</v>
      </c>
      <c r="R24" s="158">
        <v>0</v>
      </c>
    </row>
    <row r="25" spans="1:18" ht="13.5" customHeight="1">
      <c r="A25" s="150" t="s">
        <v>210</v>
      </c>
      <c r="B25" s="170">
        <v>8000</v>
      </c>
      <c r="E25" s="173" t="s">
        <v>239</v>
      </c>
      <c r="F25" s="174">
        <v>-4</v>
      </c>
      <c r="G25" s="174"/>
      <c r="H25" s="175"/>
      <c r="J25" t="s">
        <v>240</v>
      </c>
      <c r="N25" s="159" t="s">
        <v>241</v>
      </c>
      <c r="O25" s="31">
        <v>1435</v>
      </c>
      <c r="P25" s="31">
        <v>6.45</v>
      </c>
      <c r="Q25" s="31">
        <v>4.5</v>
      </c>
      <c r="R25" s="158">
        <v>0.002</v>
      </c>
    </row>
    <row r="26" spans="1:18" ht="12.75" customHeight="1">
      <c r="A26" s="150" t="s">
        <v>212</v>
      </c>
      <c r="B26" s="170">
        <v>7000</v>
      </c>
      <c r="E26" s="176"/>
      <c r="F26" s="176"/>
      <c r="G26" s="176"/>
      <c r="H26" s="176"/>
      <c r="I26" s="5"/>
      <c r="J26" s="149" t="s">
        <v>242</v>
      </c>
      <c r="K26" s="149">
        <v>60</v>
      </c>
      <c r="N26" s="159" t="s">
        <v>243</v>
      </c>
      <c r="O26" s="31">
        <v>2750</v>
      </c>
      <c r="P26" s="31">
        <v>4.54</v>
      </c>
      <c r="Q26" s="31">
        <v>5.1</v>
      </c>
      <c r="R26" s="158">
        <v>0.0013000000000000002</v>
      </c>
    </row>
    <row r="27" spans="1:18" ht="14.25" customHeight="1">
      <c r="A27" s="150" t="s">
        <v>215</v>
      </c>
      <c r="B27" s="170">
        <v>6200</v>
      </c>
      <c r="E27" s="177" t="s">
        <v>244</v>
      </c>
      <c r="F27" s="177"/>
      <c r="G27" s="177"/>
      <c r="H27" s="177"/>
      <c r="I27" s="178"/>
      <c r="N27" s="159">
        <v>2</v>
      </c>
      <c r="O27" s="31"/>
      <c r="P27" s="31"/>
      <c r="Q27" s="5"/>
      <c r="R27" s="158"/>
    </row>
    <row r="28" spans="1:18" ht="12" customHeight="1">
      <c r="A28" s="150" t="s">
        <v>217</v>
      </c>
      <c r="B28" s="170">
        <v>6000</v>
      </c>
      <c r="E28" s="179"/>
      <c r="F28" s="180" t="s">
        <v>245</v>
      </c>
      <c r="G28" s="180"/>
      <c r="H28" s="180"/>
      <c r="I28" s="181"/>
      <c r="N28" s="155">
        <v>3</v>
      </c>
      <c r="O28" s="5"/>
      <c r="P28" s="5"/>
      <c r="Q28" s="5"/>
      <c r="R28" s="158"/>
    </row>
    <row r="29" spans="1:18" ht="12.75" customHeight="1">
      <c r="A29" s="150" t="s">
        <v>220</v>
      </c>
      <c r="B29" s="170">
        <v>5500</v>
      </c>
      <c r="E29" s="179"/>
      <c r="F29" s="179"/>
      <c r="G29" s="179"/>
      <c r="H29" s="179"/>
      <c r="N29" s="155">
        <v>4</v>
      </c>
      <c r="O29" s="5"/>
      <c r="P29" s="5"/>
      <c r="Q29" s="5"/>
      <c r="R29" s="158"/>
    </row>
    <row r="30" spans="1:18" ht="12.75" customHeight="1">
      <c r="A30" s="150" t="s">
        <v>223</v>
      </c>
      <c r="B30" s="170">
        <v>5100</v>
      </c>
      <c r="N30" s="155">
        <v>5</v>
      </c>
      <c r="O30" s="5"/>
      <c r="P30" s="5"/>
      <c r="Q30" s="5"/>
      <c r="R30" s="158"/>
    </row>
    <row r="31" spans="1:18" ht="12.75" customHeight="1">
      <c r="A31" s="182" t="s">
        <v>227</v>
      </c>
      <c r="B31" s="183">
        <v>4000</v>
      </c>
      <c r="N31" s="155">
        <v>6</v>
      </c>
      <c r="O31" s="5"/>
      <c r="P31" s="5"/>
      <c r="Q31" s="5"/>
      <c r="R31" s="158"/>
    </row>
    <row r="32" spans="1:18" ht="13.5" customHeight="1">
      <c r="A32" s="164" t="s">
        <v>230</v>
      </c>
      <c r="B32" s="165" t="s">
        <v>246</v>
      </c>
      <c r="N32" s="155">
        <v>7</v>
      </c>
      <c r="O32" s="5"/>
      <c r="P32" s="5"/>
      <c r="Q32" s="5"/>
      <c r="R32" s="158"/>
    </row>
    <row r="33" spans="14:18" ht="12.75" customHeight="1">
      <c r="N33" s="155">
        <v>8</v>
      </c>
      <c r="O33" s="5"/>
      <c r="P33" s="5"/>
      <c r="Q33" s="5"/>
      <c r="R33" s="158"/>
    </row>
    <row r="34" spans="1:18" ht="12.75" customHeight="1">
      <c r="A34" t="s">
        <v>182</v>
      </c>
      <c r="N34" s="155">
        <v>9</v>
      </c>
      <c r="O34" s="5"/>
      <c r="P34" s="5"/>
      <c r="Q34" s="5"/>
      <c r="R34" s="158"/>
    </row>
    <row r="35" spans="1:18" ht="12.75" customHeight="1">
      <c r="A35" t="s">
        <v>247</v>
      </c>
      <c r="N35" s="184">
        <v>10</v>
      </c>
      <c r="O35" s="185"/>
      <c r="P35" s="185"/>
      <c r="Q35" s="185"/>
      <c r="R35" s="73"/>
    </row>
    <row r="36" spans="1:14" ht="12.75" customHeight="1">
      <c r="A36" s="177" t="s">
        <v>248</v>
      </c>
      <c r="B36" s="177"/>
      <c r="C36" s="177"/>
      <c r="D36" s="177"/>
      <c r="N36" s="186"/>
    </row>
    <row r="37" ht="12.75" customHeight="1">
      <c r="M37" s="48"/>
    </row>
    <row r="38" spans="1:18" ht="15" customHeight="1">
      <c r="A38" s="187"/>
      <c r="B38" s="50"/>
      <c r="C38" s="188" t="s">
        <v>249</v>
      </c>
      <c r="D38" s="127" t="s">
        <v>250</v>
      </c>
      <c r="E38" s="127"/>
      <c r="P38" s="125" t="s">
        <v>251</v>
      </c>
      <c r="Q38" s="125"/>
      <c r="R38" s="125"/>
    </row>
    <row r="39" spans="2:18" ht="12.75" customHeight="1">
      <c r="B39" s="15" t="s">
        <v>252</v>
      </c>
      <c r="C39" s="148"/>
      <c r="D39" t="s">
        <v>182</v>
      </c>
      <c r="E39" t="s">
        <v>253</v>
      </c>
      <c r="Q39" s="224" t="s">
        <v>167</v>
      </c>
      <c r="R39" s="224"/>
    </row>
    <row r="40" spans="2:18" ht="13.5" customHeight="1">
      <c r="B40" s="189" t="s">
        <v>254</v>
      </c>
      <c r="C40" s="158"/>
      <c r="E40" t="s">
        <v>255</v>
      </c>
      <c r="P40" s="190" t="s">
        <v>176</v>
      </c>
      <c r="Q40" s="223" t="s">
        <v>177</v>
      </c>
      <c r="R40" s="223"/>
    </row>
    <row r="41" spans="2:18" ht="18" customHeight="1">
      <c r="B41" s="191" t="s">
        <v>256</v>
      </c>
      <c r="C41" s="73"/>
      <c r="E41" s="192" t="s">
        <v>257</v>
      </c>
      <c r="P41" s="193">
        <v>3500</v>
      </c>
      <c r="Q41" s="194"/>
      <c r="R41" s="195">
        <v>40</v>
      </c>
    </row>
    <row r="42" spans="16:18" ht="12.75" customHeight="1">
      <c r="P42" s="196">
        <v>3750</v>
      </c>
      <c r="Q42" s="197"/>
      <c r="R42" s="198">
        <v>46</v>
      </c>
    </row>
    <row r="43" spans="1:18" ht="15" customHeight="1">
      <c r="A43" s="48" t="s">
        <v>258</v>
      </c>
      <c r="B43" s="199" t="s">
        <v>259</v>
      </c>
      <c r="P43" s="196">
        <v>4000</v>
      </c>
      <c r="Q43" s="197"/>
      <c r="R43" s="198">
        <v>51</v>
      </c>
    </row>
    <row r="44" spans="2:18" ht="12.75" customHeight="1">
      <c r="B44" s="200" t="s">
        <v>260</v>
      </c>
      <c r="P44" s="196">
        <v>4250</v>
      </c>
      <c r="Q44" s="197"/>
      <c r="R44" s="198">
        <v>60</v>
      </c>
    </row>
    <row r="45" spans="2:18" ht="12.75" customHeight="1">
      <c r="B45" s="200" t="s">
        <v>261</v>
      </c>
      <c r="P45" s="196">
        <v>4500</v>
      </c>
      <c r="Q45" s="197"/>
      <c r="R45" s="198">
        <v>68</v>
      </c>
    </row>
    <row r="46" spans="16:18" ht="12.75" customHeight="1">
      <c r="P46" s="196">
        <v>4750</v>
      </c>
      <c r="Q46" s="197"/>
      <c r="R46" s="198">
        <v>69</v>
      </c>
    </row>
    <row r="47" spans="16:18" ht="12.75" customHeight="1">
      <c r="P47" s="196">
        <v>5000</v>
      </c>
      <c r="Q47" s="197"/>
      <c r="R47" s="198">
        <v>70</v>
      </c>
    </row>
    <row r="48" spans="16:18" ht="12.75" customHeight="1">
      <c r="P48" s="196">
        <v>5250</v>
      </c>
      <c r="Q48" s="197"/>
      <c r="R48" s="198">
        <v>70</v>
      </c>
    </row>
    <row r="49" spans="16:18" ht="12.75" customHeight="1">
      <c r="P49" s="196">
        <v>5500</v>
      </c>
      <c r="Q49" s="197"/>
      <c r="R49" s="198">
        <v>68</v>
      </c>
    </row>
    <row r="50" spans="16:18" ht="12.75" customHeight="1">
      <c r="P50" s="196">
        <v>5750</v>
      </c>
      <c r="Q50" s="197"/>
      <c r="R50" s="198">
        <v>64</v>
      </c>
    </row>
    <row r="51" spans="16:18" ht="12.75" customHeight="1">
      <c r="P51" s="196">
        <v>6000</v>
      </c>
      <c r="Q51" s="197"/>
      <c r="R51" s="198">
        <v>62</v>
      </c>
    </row>
    <row r="52" spans="16:18" ht="12.75" customHeight="1">
      <c r="P52" s="196">
        <v>6250</v>
      </c>
      <c r="Q52" s="197"/>
      <c r="R52" s="198">
        <v>62</v>
      </c>
    </row>
    <row r="53" spans="16:18" ht="12.75" customHeight="1">
      <c r="P53" s="196">
        <v>6500</v>
      </c>
      <c r="Q53" s="197"/>
      <c r="R53" s="198">
        <v>60</v>
      </c>
    </row>
    <row r="54" spans="16:18" ht="12.75" customHeight="1">
      <c r="P54" s="196">
        <v>6750</v>
      </c>
      <c r="Q54" s="197"/>
      <c r="R54" s="198">
        <v>58</v>
      </c>
    </row>
    <row r="55" spans="16:18" ht="12.75" customHeight="1">
      <c r="P55" s="196">
        <v>7000</v>
      </c>
      <c r="Q55" s="197"/>
      <c r="R55" s="198">
        <v>56</v>
      </c>
    </row>
    <row r="56" spans="16:18" ht="12.75" customHeight="1">
      <c r="P56" s="196">
        <v>7250</v>
      </c>
      <c r="Q56" s="197"/>
      <c r="R56" s="198">
        <v>50</v>
      </c>
    </row>
    <row r="57" spans="16:18" ht="12.75" customHeight="1">
      <c r="P57" s="196">
        <v>7500</v>
      </c>
      <c r="Q57" s="197"/>
      <c r="R57" s="198">
        <v>50</v>
      </c>
    </row>
    <row r="58" spans="16:18" ht="12.75" customHeight="1">
      <c r="P58" s="196">
        <v>7750</v>
      </c>
      <c r="Q58" s="197"/>
      <c r="R58" s="198">
        <v>47</v>
      </c>
    </row>
    <row r="59" spans="16:18" ht="13.5" customHeight="1">
      <c r="P59" s="201">
        <v>8000</v>
      </c>
      <c r="Q59" s="202"/>
      <c r="R59" s="203">
        <v>44</v>
      </c>
    </row>
    <row r="61" ht="12.75" customHeight="1">
      <c r="P61" t="s">
        <v>262</v>
      </c>
    </row>
    <row r="62" spans="16:18" ht="12.75" customHeight="1">
      <c r="P62" t="s">
        <v>263</v>
      </c>
      <c r="R62" t="s">
        <v>264</v>
      </c>
    </row>
    <row r="63" spans="16:17" ht="12.75" customHeight="1">
      <c r="P63" s="149" t="s">
        <v>265</v>
      </c>
      <c r="Q63" s="149"/>
    </row>
  </sheetData>
  <sheetProtection selectLockedCells="1" selectUnlockedCells="1"/>
  <mergeCells count="3">
    <mergeCell ref="K3:L3"/>
    <mergeCell ref="Q39:R39"/>
    <mergeCell ref="Q40:R40"/>
  </mergeCells>
  <hyperlinks>
    <hyperlink ref="T3" r:id="rId1" display="http://www.licha.de/astro_article_ccd_sortable_compare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7">
      <selection activeCell="K14" sqref="K14"/>
    </sheetView>
  </sheetViews>
  <sheetFormatPr defaultColWidth="9.00390625" defaultRowHeight="12.75" customHeight="1"/>
  <cols>
    <col min="1" max="1" width="9.00390625" style="0" customWidth="1"/>
    <col min="2" max="2" width="19.57421875" style="0" customWidth="1"/>
    <col min="3" max="3" width="10.140625" style="0" customWidth="1"/>
    <col min="4" max="12" width="9.00390625" style="0" customWidth="1"/>
    <col min="13" max="13" width="12.28125" style="0" customWidth="1"/>
    <col min="14" max="16" width="9.00390625" style="0" customWidth="1"/>
    <col min="17" max="17" width="15.8515625" style="0" customWidth="1"/>
  </cols>
  <sheetData>
    <row r="1" spans="1:4" ht="12.75" customHeight="1">
      <c r="A1" s="35" t="s">
        <v>266</v>
      </c>
      <c r="B1" s="35"/>
      <c r="C1" s="35"/>
      <c r="D1" s="35"/>
    </row>
    <row r="2" spans="1:11" ht="12.75" customHeight="1">
      <c r="A2" s="35" t="s">
        <v>267</v>
      </c>
      <c r="B2" s="35"/>
      <c r="C2" s="35"/>
      <c r="D2" s="35"/>
      <c r="I2" s="204" t="s">
        <v>268</v>
      </c>
      <c r="J2" s="204"/>
      <c r="K2" s="204"/>
    </row>
    <row r="3" spans="1:4" ht="12.75" customHeight="1">
      <c r="A3" s="35"/>
      <c r="B3" s="35"/>
      <c r="C3" s="35"/>
      <c r="D3" s="35"/>
    </row>
    <row r="4" spans="1:8" ht="12.75" customHeight="1">
      <c r="A4" s="15" t="s">
        <v>269</v>
      </c>
      <c r="B4" s="205"/>
      <c r="C4" s="205"/>
      <c r="D4" s="205"/>
      <c r="E4" s="147"/>
      <c r="F4" s="147"/>
      <c r="G4" s="147"/>
      <c r="H4" s="148"/>
    </row>
    <row r="5" spans="1:12" ht="12.75" customHeight="1">
      <c r="A5" s="189"/>
      <c r="B5" s="206" t="s">
        <v>270</v>
      </c>
      <c r="C5" s="206"/>
      <c r="D5" s="206"/>
      <c r="E5" s="5"/>
      <c r="F5" s="5"/>
      <c r="G5" s="5"/>
      <c r="H5" s="158"/>
      <c r="I5" s="35" t="s">
        <v>271</v>
      </c>
      <c r="J5" s="35"/>
      <c r="K5" s="35"/>
      <c r="L5" s="35"/>
    </row>
    <row r="6" spans="1:8" ht="12.75" customHeight="1">
      <c r="A6" s="189"/>
      <c r="B6" s="206"/>
      <c r="C6" s="206"/>
      <c r="D6" s="206"/>
      <c r="E6" s="5"/>
      <c r="F6" s="5"/>
      <c r="G6" s="5"/>
      <c r="H6" s="158"/>
    </row>
    <row r="7" spans="1:8" ht="12.75" customHeight="1">
      <c r="A7" s="191"/>
      <c r="B7" s="207" t="s">
        <v>272</v>
      </c>
      <c r="C7" s="207"/>
      <c r="D7" s="207"/>
      <c r="E7" s="185"/>
      <c r="F7" s="185"/>
      <c r="G7" s="185"/>
      <c r="H7" s="73"/>
    </row>
    <row r="8" ht="12.75" customHeight="1">
      <c r="A8" t="s">
        <v>273</v>
      </c>
    </row>
    <row r="10" spans="1:13" ht="12.75" customHeight="1">
      <c r="A10" s="208" t="s">
        <v>274</v>
      </c>
      <c r="H10" s="208" t="s">
        <v>275</v>
      </c>
      <c r="M10" s="209"/>
    </row>
    <row r="11" spans="1:9" ht="12.75" customHeight="1">
      <c r="A11" s="210" t="s">
        <v>276</v>
      </c>
      <c r="B11" s="211">
        <f>simspec!G19/1000000</f>
        <v>3E-05</v>
      </c>
      <c r="C11" s="210" t="s">
        <v>277</v>
      </c>
      <c r="D11" s="210"/>
      <c r="E11" s="210"/>
      <c r="F11" s="210"/>
      <c r="G11" s="210" t="s">
        <v>278</v>
      </c>
      <c r="H11" s="212" t="s">
        <v>279</v>
      </c>
      <c r="I11" s="213">
        <f>14.1+1.2*LOG((B11*B12*B13*B14*B15*0.8*B16*B17)/(B18*B19*B20*B21),10)</f>
        <v>13.633668330904927</v>
      </c>
    </row>
    <row r="12" spans="1:7" ht="12.75" customHeight="1">
      <c r="A12" s="210" t="s">
        <v>280</v>
      </c>
      <c r="B12" s="214">
        <f>(simspec!G7/simspec!G8)/1000</f>
        <v>0.0125</v>
      </c>
      <c r="C12" s="210" t="s">
        <v>281</v>
      </c>
      <c r="D12" s="210"/>
      <c r="E12" s="210"/>
      <c r="F12" s="210"/>
      <c r="G12" s="210" t="s">
        <v>278</v>
      </c>
    </row>
    <row r="13" spans="1:7" ht="12.75" customHeight="1">
      <c r="A13" s="210" t="s">
        <v>282</v>
      </c>
      <c r="B13" s="210">
        <f>simspec!C7/1000</f>
        <v>0.203</v>
      </c>
      <c r="C13" s="210" t="s">
        <v>283</v>
      </c>
      <c r="D13" s="210"/>
      <c r="E13" s="210"/>
      <c r="F13" s="210"/>
      <c r="G13" s="210" t="s">
        <v>278</v>
      </c>
    </row>
    <row r="14" spans="1:8" ht="12.75" customHeight="1">
      <c r="A14" s="210" t="s">
        <v>284</v>
      </c>
      <c r="B14" s="215">
        <f>simspec!$G$43</f>
        <v>1</v>
      </c>
      <c r="C14" s="210" t="s">
        <v>285</v>
      </c>
      <c r="D14" s="210"/>
      <c r="E14" s="210"/>
      <c r="F14" s="210"/>
      <c r="G14" s="210"/>
      <c r="H14" t="s">
        <v>286</v>
      </c>
    </row>
    <row r="15" spans="1:7" ht="12.75" customHeight="1">
      <c r="A15" s="210" t="s">
        <v>287</v>
      </c>
      <c r="B15" s="210">
        <f>simspec!K9/100</f>
        <v>0.528</v>
      </c>
      <c r="C15" s="210" t="s">
        <v>288</v>
      </c>
      <c r="D15" s="210"/>
      <c r="E15" s="210"/>
      <c r="F15" s="210"/>
      <c r="G15" s="210"/>
    </row>
    <row r="16" spans="1:18" ht="12.75" customHeight="1">
      <c r="A16" s="210" t="s">
        <v>289</v>
      </c>
      <c r="B16" s="210">
        <f>simspec!K18</f>
        <v>3600</v>
      </c>
      <c r="C16" s="210" t="s">
        <v>290</v>
      </c>
      <c r="D16" s="210"/>
      <c r="E16" s="210"/>
      <c r="F16" s="210"/>
      <c r="G16" s="210" t="s">
        <v>291</v>
      </c>
      <c r="L16" s="60"/>
      <c r="M16" s="60"/>
      <c r="N16" s="60"/>
      <c r="O16" s="60"/>
      <c r="P16" s="60"/>
      <c r="Q16" s="60"/>
      <c r="R16" s="60"/>
    </row>
    <row r="17" spans="1:18" ht="12.75" customHeight="1">
      <c r="A17" s="210" t="s">
        <v>292</v>
      </c>
      <c r="B17" s="216">
        <f>simspec!G14/1000/(simspec!G26*simspec!G21)</f>
        <v>5.863423267773944E-07</v>
      </c>
      <c r="C17" s="210" t="s">
        <v>293</v>
      </c>
      <c r="D17" s="210"/>
      <c r="E17" s="210"/>
      <c r="F17" s="210"/>
      <c r="G17" s="210" t="s">
        <v>294</v>
      </c>
      <c r="H17" s="60" t="s">
        <v>295</v>
      </c>
      <c r="I17" s="60"/>
      <c r="J17" s="60" t="s">
        <v>296</v>
      </c>
      <c r="K17" s="60"/>
      <c r="L17" s="60"/>
      <c r="M17" s="60"/>
      <c r="N17" s="60"/>
      <c r="O17" s="60"/>
      <c r="P17" s="60"/>
      <c r="Q17" s="60"/>
      <c r="R17" s="60"/>
    </row>
    <row r="18" spans="1:18" ht="12.75" customHeight="1">
      <c r="A18" s="210" t="s">
        <v>297</v>
      </c>
      <c r="B18" s="210">
        <f>simspec!G7/1000</f>
        <v>0.125</v>
      </c>
      <c r="C18" s="210" t="s">
        <v>298</v>
      </c>
      <c r="D18" s="210"/>
      <c r="E18" s="210"/>
      <c r="F18" s="210"/>
      <c r="G18" s="210" t="s">
        <v>278</v>
      </c>
      <c r="H18" s="60"/>
      <c r="I18" s="60"/>
      <c r="J18" s="60"/>
      <c r="K18" s="60"/>
      <c r="L18" s="60"/>
      <c r="M18" s="60"/>
      <c r="N18" s="60"/>
      <c r="O18" s="60"/>
      <c r="P18" s="60"/>
      <c r="Q18" s="217"/>
      <c r="R18" s="218"/>
    </row>
    <row r="19" spans="1:18" ht="12.75" customHeight="1">
      <c r="A19" s="210" t="s">
        <v>299</v>
      </c>
      <c r="B19" s="210">
        <f>simspec!G12/1000</f>
        <v>0.1</v>
      </c>
      <c r="C19" s="210" t="s">
        <v>300</v>
      </c>
      <c r="D19" s="210"/>
      <c r="E19" s="210"/>
      <c r="F19" s="210"/>
      <c r="G19" s="210" t="s">
        <v>278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2.75" customHeight="1">
      <c r="A20" s="210" t="s">
        <v>301</v>
      </c>
      <c r="B20" s="219">
        <f>simspec!C15*5/100000</f>
        <v>0.00015</v>
      </c>
      <c r="C20" s="210" t="s">
        <v>302</v>
      </c>
      <c r="D20" s="210"/>
      <c r="E20" s="210"/>
      <c r="F20" s="210"/>
      <c r="G20" s="210" t="s">
        <v>303</v>
      </c>
      <c r="H20" s="60" t="s">
        <v>304</v>
      </c>
      <c r="I20" s="60"/>
      <c r="J20" s="60"/>
      <c r="K20" s="60"/>
      <c r="L20" s="60"/>
      <c r="M20" s="60"/>
      <c r="N20" s="60"/>
      <c r="O20" s="60"/>
      <c r="P20" s="220"/>
      <c r="Q20" s="60"/>
      <c r="R20" s="60"/>
    </row>
    <row r="21" spans="1:18" ht="12.75" customHeight="1">
      <c r="A21" s="210" t="s">
        <v>305</v>
      </c>
      <c r="B21" s="211">
        <f>simspec!K20*simspec!K7/1000000</f>
        <v>8.857545954495797E-05</v>
      </c>
      <c r="C21" s="210" t="s">
        <v>306</v>
      </c>
      <c r="D21" s="210"/>
      <c r="E21" s="210"/>
      <c r="F21" s="210"/>
      <c r="G21" s="210" t="s">
        <v>278</v>
      </c>
      <c r="H21" s="60" t="s">
        <v>307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8:11" ht="12.75" customHeight="1">
      <c r="H22" s="60"/>
      <c r="I22" s="60"/>
      <c r="J22" s="60"/>
      <c r="K22" s="60"/>
    </row>
    <row r="23" ht="12.75" customHeight="1">
      <c r="A23" t="s">
        <v>308</v>
      </c>
    </row>
    <row r="25" spans="1:11" s="80" customFormat="1" ht="12.75" customHeight="1">
      <c r="A25" s="35" t="s">
        <v>309</v>
      </c>
      <c r="B25"/>
      <c r="C25"/>
      <c r="D25"/>
      <c r="E25"/>
      <c r="F25"/>
      <c r="G25"/>
      <c r="H25"/>
      <c r="I25"/>
      <c r="J25"/>
      <c r="K25"/>
    </row>
    <row r="26" spans="1:11" ht="12.75" customHeight="1">
      <c r="A26" s="221" t="s">
        <v>310</v>
      </c>
      <c r="B26" s="221"/>
      <c r="C26" s="221"/>
      <c r="D26" s="221"/>
      <c r="E26" s="221"/>
      <c r="F26" s="80"/>
      <c r="G26" s="80"/>
      <c r="H26" s="80"/>
      <c r="I26" s="80"/>
      <c r="J26" s="80"/>
      <c r="K26" s="80"/>
    </row>
    <row r="27" ht="12.75" customHeight="1">
      <c r="A27" t="s">
        <v>311</v>
      </c>
    </row>
    <row r="28" ht="12.75" customHeight="1">
      <c r="A28" t="s">
        <v>312</v>
      </c>
    </row>
    <row r="29" ht="12.75" customHeight="1">
      <c r="A29" t="s">
        <v>313</v>
      </c>
    </row>
    <row r="31" spans="1:5" ht="12.75" customHeight="1">
      <c r="A31" s="206" t="s">
        <v>314</v>
      </c>
      <c r="B31" s="206"/>
      <c r="C31" s="206"/>
      <c r="D31" s="5"/>
      <c r="E31" s="5"/>
    </row>
    <row r="33" ht="12.75" customHeight="1">
      <c r="A33" t="s">
        <v>315</v>
      </c>
    </row>
    <row r="34" ht="12.75" customHeight="1">
      <c r="B34" t="s">
        <v>316</v>
      </c>
    </row>
    <row r="35" ht="12.75" customHeight="1">
      <c r="B35" t="s">
        <v>317</v>
      </c>
    </row>
    <row r="36" spans="2:4" ht="12.75" customHeight="1">
      <c r="B36" t="s">
        <v>318</v>
      </c>
      <c r="C36" s="222" t="s">
        <v>319</v>
      </c>
      <c r="D36" t="s">
        <v>320</v>
      </c>
    </row>
    <row r="37" spans="2:4" ht="12.75" customHeight="1">
      <c r="B37" t="s">
        <v>321</v>
      </c>
      <c r="C37" t="s">
        <v>92</v>
      </c>
      <c r="D37" t="s">
        <v>322</v>
      </c>
    </row>
    <row r="38" spans="2:4" ht="12.75" customHeight="1">
      <c r="B38">
        <v>51</v>
      </c>
      <c r="C38">
        <v>7</v>
      </c>
      <c r="D38">
        <v>7.03</v>
      </c>
    </row>
    <row r="39" spans="2:4" ht="12.75" customHeight="1">
      <c r="B39">
        <v>130</v>
      </c>
      <c r="C39">
        <v>8</v>
      </c>
      <c r="D39">
        <v>7.97</v>
      </c>
    </row>
    <row r="40" spans="2:4" ht="12.75" customHeight="1">
      <c r="B40">
        <v>335</v>
      </c>
      <c r="C40">
        <v>9</v>
      </c>
      <c r="D40">
        <v>8.92</v>
      </c>
    </row>
    <row r="41" spans="2:4" ht="12.75" customHeight="1">
      <c r="B41">
        <v>900</v>
      </c>
      <c r="C41">
        <v>10</v>
      </c>
      <c r="D41">
        <v>9.9</v>
      </c>
    </row>
    <row r="42" spans="2:4" ht="12.75" customHeight="1">
      <c r="B42">
        <v>2680</v>
      </c>
      <c r="C42">
        <v>11</v>
      </c>
      <c r="D42">
        <v>10.99</v>
      </c>
    </row>
    <row r="43" spans="2:4" ht="12.75" customHeight="1">
      <c r="B43">
        <v>9800</v>
      </c>
      <c r="C43">
        <v>12</v>
      </c>
      <c r="D43">
        <v>12.29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modified xsi:type="dcterms:W3CDTF">2019-12-31T10:24:02Z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